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2" windowHeight="4452" activeTab="0"/>
  </bookViews>
  <sheets>
    <sheet name="Q'_GSI" sheetId="1" r:id="rId1"/>
    <sheet name="inviluppi" sheetId="2" r:id="rId2"/>
    <sheet name="inviluppi (0 &lt; s3 &lt; 1 MPa)" sheetId="3" r:id="rId3"/>
  </sheets>
  <definedNames>
    <definedName name="_xlnm.Print_Area" localSheetId="1">'inviluppi'!$A$1:$O$40</definedName>
    <definedName name="_xlnm.Print_Area" localSheetId="2">'inviluppi (0 &lt; s3 &lt; 1 MPa)'!$A$1:$O$40</definedName>
    <definedName name="_xlnm.Print_Area" localSheetId="0">'Q''_GSI'!$A$1:$M$254</definedName>
  </definedNames>
  <calcPr fullCalcOnLoad="1"/>
</workbook>
</file>

<file path=xl/sharedStrings.xml><?xml version="1.0" encoding="utf-8"?>
<sst xmlns="http://schemas.openxmlformats.org/spreadsheetml/2006/main" count="297" uniqueCount="143">
  <si>
    <t>DEFINIZIONE DEI PARAMETRI GEOMECCANICI DI RESISTENZA E DEFORMABILITA'</t>
  </si>
  <si>
    <t xml:space="preserve"> </t>
  </si>
  <si>
    <t>Committente</t>
  </si>
  <si>
    <t>Commessa</t>
  </si>
  <si>
    <t>Località</t>
  </si>
  <si>
    <t>Data</t>
  </si>
  <si>
    <t>Area di rilievo</t>
  </si>
  <si>
    <t>geomeccanico</t>
  </si>
  <si>
    <t>Q System (Grimstad e Barton, 1993)</t>
  </si>
  <si>
    <t>RQD</t>
  </si>
  <si>
    <r>
      <t>J</t>
    </r>
    <r>
      <rPr>
        <b/>
        <i/>
        <vertAlign val="subscript"/>
        <sz val="10"/>
        <rFont val="Arial"/>
        <family val="2"/>
      </rPr>
      <t>r</t>
    </r>
  </si>
  <si>
    <r>
      <t>J</t>
    </r>
    <r>
      <rPr>
        <b/>
        <i/>
        <vertAlign val="subscript"/>
        <sz val="10"/>
        <rFont val="Arial"/>
        <family val="2"/>
      </rPr>
      <t>w</t>
    </r>
  </si>
  <si>
    <t>: Rock Quality Designation</t>
  </si>
  <si>
    <t>[%]</t>
  </si>
  <si>
    <t>[-]</t>
  </si>
  <si>
    <r>
      <t>J</t>
    </r>
    <r>
      <rPr>
        <b/>
        <i/>
        <vertAlign val="subscript"/>
        <sz val="10"/>
        <rFont val="Arial"/>
        <family val="0"/>
      </rPr>
      <t>n</t>
    </r>
  </si>
  <si>
    <t>: Joint Set Number</t>
  </si>
  <si>
    <r>
      <t>J</t>
    </r>
    <r>
      <rPr>
        <b/>
        <i/>
        <vertAlign val="subscript"/>
        <sz val="10"/>
        <rFont val="Arial"/>
        <family val="0"/>
      </rPr>
      <t>r</t>
    </r>
  </si>
  <si>
    <t>: Joint Roughness Number</t>
  </si>
  <si>
    <r>
      <t>J</t>
    </r>
    <r>
      <rPr>
        <b/>
        <i/>
        <vertAlign val="subscript"/>
        <sz val="10"/>
        <rFont val="Arial"/>
        <family val="2"/>
      </rPr>
      <t>n</t>
    </r>
  </si>
  <si>
    <r>
      <t>J</t>
    </r>
    <r>
      <rPr>
        <b/>
        <i/>
        <vertAlign val="subscript"/>
        <sz val="10"/>
        <rFont val="Arial"/>
        <family val="2"/>
      </rPr>
      <t>a</t>
    </r>
  </si>
  <si>
    <t>SRF</t>
  </si>
  <si>
    <r>
      <t>J</t>
    </r>
    <r>
      <rPr>
        <b/>
        <i/>
        <vertAlign val="subscript"/>
        <sz val="10"/>
        <rFont val="Arial"/>
        <family val="0"/>
      </rPr>
      <t>a</t>
    </r>
  </si>
  <si>
    <t>: Joint Alteration Number</t>
  </si>
  <si>
    <r>
      <t>J</t>
    </r>
    <r>
      <rPr>
        <b/>
        <i/>
        <vertAlign val="subscript"/>
        <sz val="10"/>
        <rFont val="Arial"/>
        <family val="0"/>
      </rPr>
      <t>w</t>
    </r>
  </si>
  <si>
    <t>: Joint Water Reduction Factor</t>
  </si>
  <si>
    <t>: Stress Reduction Factor</t>
  </si>
  <si>
    <t>classe</t>
  </si>
  <si>
    <t>qualità dell'ammasso</t>
  </si>
  <si>
    <t>Q'</t>
  </si>
  <si>
    <t>: indice di qualità intrinseco</t>
  </si>
  <si>
    <t xml:space="preserve">  dell'ammasso roccioso</t>
  </si>
  <si>
    <r>
      <t xml:space="preserve">  (J</t>
    </r>
    <r>
      <rPr>
        <i/>
        <vertAlign val="subscript"/>
        <sz val="10"/>
        <rFont val="Arial"/>
        <family val="2"/>
      </rPr>
      <t>w</t>
    </r>
    <r>
      <rPr>
        <i/>
        <sz val="10"/>
        <rFont val="Arial"/>
        <family val="0"/>
      </rPr>
      <t xml:space="preserve"> = 1 e SRF = 1)</t>
    </r>
  </si>
  <si>
    <t>RMR System - Geomechanics Classification (Bieniawski, 1989)</t>
  </si>
  <si>
    <t>[MPa]</t>
  </si>
  <si>
    <t>Rock Quality Designation RQD</t>
  </si>
  <si>
    <t>N° di famiglie di discontinuità</t>
  </si>
  <si>
    <t>Spaziatura delle discontinuità</t>
  </si>
  <si>
    <t>[cm]</t>
  </si>
  <si>
    <t>Condizioni delle discontinuità:</t>
  </si>
  <si>
    <t>lunghezza</t>
  </si>
  <si>
    <t>[m]</t>
  </si>
  <si>
    <t>apertura</t>
  </si>
  <si>
    <t>[mm]</t>
  </si>
  <si>
    <t>rugosità</t>
  </si>
  <si>
    <t>riempimento:</t>
  </si>
  <si>
    <t>tipo</t>
  </si>
  <si>
    <t>spessore</t>
  </si>
  <si>
    <t>alterazione</t>
  </si>
  <si>
    <t>Condizioni idriche</t>
  </si>
  <si>
    <t>umido</t>
  </si>
  <si>
    <t>GSI</t>
  </si>
  <si>
    <t xml:space="preserve">Hoek (1994) (da Bieniawski, 1976)  </t>
  </si>
  <si>
    <t xml:space="preserve">Russo, Kalamaras e Grasso (1998)  </t>
  </si>
  <si>
    <t>GSI = 9 ln Q' + 44</t>
  </si>
  <si>
    <t>GSI =10 ln Q' + 32</t>
  </si>
  <si>
    <t xml:space="preserve">PARAMETRI GEOMECCANICI </t>
  </si>
  <si>
    <t xml:space="preserve">Parametri di resistenza secondo il criterio di rottura di Hoek e Brown </t>
  </si>
  <si>
    <t>Materiale roccia</t>
  </si>
  <si>
    <t xml:space="preserve">resistenza a compressione monoassiale </t>
  </si>
  <si>
    <t xml:space="preserve">parametro dell'inviluppo di rottura </t>
  </si>
  <si>
    <r>
      <t>m</t>
    </r>
    <r>
      <rPr>
        <b/>
        <i/>
        <vertAlign val="subscript"/>
        <sz val="10"/>
        <rFont val="Arial"/>
        <family val="2"/>
      </rPr>
      <t>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[-]</t>
    </r>
  </si>
  <si>
    <t xml:space="preserve">parametri dell'inviluppo di rottura  </t>
  </si>
  <si>
    <r>
      <t xml:space="preserve">s </t>
    </r>
    <r>
      <rPr>
        <i/>
        <sz val="10"/>
        <rFont val="Arial"/>
        <family val="0"/>
      </rPr>
      <t>[-]</t>
    </r>
  </si>
  <si>
    <t>resistenza a compressione monoassiale</t>
  </si>
  <si>
    <t>parametri dell'inviluppo di rottura</t>
  </si>
  <si>
    <t>Modulo di deformabilità</t>
  </si>
  <si>
    <t>INVILUPPO DI ROTTURA DELL'AMMASSO ROCCIOSO</t>
  </si>
  <si>
    <r>
      <t>s</t>
    </r>
    <r>
      <rPr>
        <b/>
        <i/>
        <vertAlign val="subscript"/>
        <sz val="10"/>
        <rFont val="Arial"/>
        <family val="2"/>
      </rPr>
      <t>3</t>
    </r>
  </si>
  <si>
    <r>
      <t>s</t>
    </r>
    <r>
      <rPr>
        <b/>
        <i/>
        <vertAlign val="subscript"/>
        <sz val="10"/>
        <rFont val="Arial"/>
        <family val="2"/>
      </rPr>
      <t>1</t>
    </r>
  </si>
  <si>
    <r>
      <t>s</t>
    </r>
    <r>
      <rPr>
        <b/>
        <i/>
        <vertAlign val="subscript"/>
        <sz val="10"/>
        <rFont val="Arial"/>
        <family val="2"/>
      </rPr>
      <t>n</t>
    </r>
  </si>
  <si>
    <t>t</t>
  </si>
  <si>
    <r>
      <t>c</t>
    </r>
    <r>
      <rPr>
        <b/>
        <i/>
        <vertAlign val="subscript"/>
        <sz val="10"/>
        <rFont val="Arial"/>
        <family val="0"/>
      </rPr>
      <t>i</t>
    </r>
  </si>
  <si>
    <r>
      <t>j</t>
    </r>
    <r>
      <rPr>
        <b/>
        <i/>
        <vertAlign val="subscript"/>
        <sz val="10"/>
        <rFont val="Arial"/>
        <family val="0"/>
      </rPr>
      <t>i</t>
    </r>
  </si>
  <si>
    <t>T</t>
  </si>
  <si>
    <t>Tr</t>
  </si>
  <si>
    <r>
      <t>s</t>
    </r>
    <r>
      <rPr>
        <b/>
        <i/>
        <vertAlign val="subscript"/>
        <sz val="10"/>
        <rFont val="Arial"/>
        <family val="2"/>
      </rPr>
      <t>3 r</t>
    </r>
  </si>
  <si>
    <r>
      <t>s</t>
    </r>
    <r>
      <rPr>
        <b/>
        <i/>
        <vertAlign val="subscript"/>
        <sz val="10"/>
        <rFont val="Arial"/>
        <family val="2"/>
      </rPr>
      <t>1 r</t>
    </r>
  </si>
  <si>
    <t>[°]</t>
  </si>
  <si>
    <t>NOTA:</t>
  </si>
  <si>
    <r>
      <t xml:space="preserve">= costante molto empirica per il calcolo di 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3</t>
    </r>
  </si>
  <si>
    <r>
      <t xml:space="preserve">   corrispondente a 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n</t>
    </r>
    <r>
      <rPr>
        <i/>
        <sz val="10"/>
        <rFont val="Arial"/>
        <family val="0"/>
      </rPr>
      <t>=0</t>
    </r>
  </si>
  <si>
    <r>
      <t>INVILUPPO DI ROTTURA DELL'AMMASSO ROCCIOSO</t>
    </r>
    <r>
      <rPr>
        <i/>
        <sz val="10"/>
        <rFont val="Arial"/>
        <family val="0"/>
      </rPr>
      <t xml:space="preserve"> (</t>
    </r>
    <r>
      <rPr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3</t>
    </r>
    <r>
      <rPr>
        <i/>
        <sz val="10"/>
        <rFont val="Arial"/>
        <family val="0"/>
      </rPr>
      <t xml:space="preserve"> = 0 - 1 MPa)</t>
    </r>
  </si>
  <si>
    <t>[kPa]</t>
  </si>
  <si>
    <r>
      <t xml:space="preserve">a </t>
    </r>
    <r>
      <rPr>
        <i/>
        <sz val="10"/>
        <rFont val="Arial"/>
        <family val="0"/>
      </rPr>
      <t>[-]</t>
    </r>
  </si>
  <si>
    <r>
      <t xml:space="preserve">   GSI</t>
    </r>
    <r>
      <rPr>
        <b/>
        <i/>
        <vertAlign val="subscript"/>
        <sz val="10"/>
        <rFont val="Arial"/>
        <family val="2"/>
      </rPr>
      <t xml:space="preserve">RES </t>
    </r>
  </si>
  <si>
    <t>resistenza a trazione (calcolata)</t>
  </si>
  <si>
    <r>
      <t>s</t>
    </r>
    <r>
      <rPr>
        <b/>
        <i/>
        <vertAlign val="subscript"/>
        <sz val="10"/>
        <rFont val="Arial"/>
        <family val="2"/>
      </rPr>
      <t>t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</si>
  <si>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t xml:space="preserve">resistenza a trazione </t>
  </si>
  <si>
    <t>Ammasso roccioso - Condizioni di picco</t>
  </si>
  <si>
    <t>Ammasso roccioso - Condizioni post-rottura</t>
  </si>
  <si>
    <t>Condizioni di picco</t>
  </si>
  <si>
    <t>Condizioni post-rottura</t>
  </si>
  <si>
    <t>condizioni</t>
  </si>
  <si>
    <t>post-rottura</t>
  </si>
  <si>
    <t xml:space="preserve">condizioni </t>
  </si>
  <si>
    <t>di picco</t>
  </si>
  <si>
    <t>RMR'</t>
  </si>
  <si>
    <t>Qualità intrinseca dell'ammasso roccioso</t>
  </si>
  <si>
    <t>Rock Mass Rating intrinseco</t>
  </si>
  <si>
    <t>resistenza globale</t>
  </si>
  <si>
    <r>
      <t>s</t>
    </r>
    <r>
      <rPr>
        <b/>
        <i/>
        <vertAlign val="subscript"/>
        <sz val="10"/>
        <rFont val="Arial"/>
        <family val="2"/>
      </rPr>
      <t>cm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</si>
  <si>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t>(Serafim e Pereira, 1983; Hoek et al., 2002)</t>
  </si>
  <si>
    <t>Litologia e descrizione geologica generale</t>
  </si>
  <si>
    <r>
      <t xml:space="preserve">Geological Strength Index </t>
    </r>
    <r>
      <rPr>
        <i/>
        <sz val="10"/>
        <rFont val="Arial"/>
        <family val="2"/>
      </rPr>
      <t>(Hoek e Marinos., 2000)</t>
    </r>
  </si>
  <si>
    <t>Tipo di ammasso roccioso secondo la classificazione di Hoek e Marinos, 2000</t>
  </si>
  <si>
    <t>parametro dell'inviluppo di rottura</t>
  </si>
  <si>
    <t>tipo ammasso</t>
  </si>
  <si>
    <r>
      <t>m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0"/>
      </rPr>
      <t xml:space="preserve"> [-]</t>
    </r>
  </si>
  <si>
    <t>percentuale relativa</t>
  </si>
  <si>
    <t xml:space="preserve">litotipo a </t>
  </si>
  <si>
    <t xml:space="preserve">litotipo b </t>
  </si>
  <si>
    <r>
      <t>m</t>
    </r>
    <r>
      <rPr>
        <i/>
        <vertAlign val="subscript"/>
        <sz val="10"/>
        <rFont val="Arial"/>
        <family val="2"/>
      </rPr>
      <t>i</t>
    </r>
    <r>
      <rPr>
        <i/>
        <sz val="10"/>
        <rFont val="Arial"/>
        <family val="2"/>
      </rPr>
      <t xml:space="preserve"> [-]</t>
    </r>
  </si>
  <si>
    <t>Parametri del materiale roccia assunti per la classificazione e la parametrizzazione</t>
  </si>
  <si>
    <t>picco</t>
  </si>
  <si>
    <t>Ammasso roccioso</t>
  </si>
  <si>
    <t xml:space="preserve">e parametri di base del materiale roccia </t>
  </si>
  <si>
    <t>modulo di deformabilità</t>
  </si>
  <si>
    <t xml:space="preserve">Coefficiente di disturbo </t>
  </si>
  <si>
    <r>
      <t>D</t>
    </r>
    <r>
      <rPr>
        <i/>
        <sz val="10"/>
        <rFont val="Arial"/>
        <family val="2"/>
      </rPr>
      <t xml:space="preserve"> [-]</t>
    </r>
  </si>
  <si>
    <t>alternanze</t>
  </si>
  <si>
    <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</si>
  <si>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s</t>
    </r>
    <r>
      <rPr>
        <b/>
        <i/>
        <vertAlign val="subscript"/>
        <sz val="10"/>
        <rFont val="Arial"/>
        <family val="2"/>
      </rPr>
      <t>ti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</si>
  <si>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s</t>
    </r>
    <r>
      <rPr>
        <i/>
        <vertAlign val="subscript"/>
        <sz val="10"/>
        <rFont val="Arial"/>
        <family val="2"/>
      </rPr>
      <t>ci</t>
    </r>
    <r>
      <rPr>
        <i/>
        <sz val="10"/>
        <rFont val="Arial"/>
        <family val="0"/>
      </rPr>
      <t xml:space="preserve"> [MPa]</t>
    </r>
  </si>
  <si>
    <r>
      <t xml:space="preserve">Resistenza a compressione monoassiale </t>
    </r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ci</t>
    </r>
  </si>
  <si>
    <r>
      <t>m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[-]</t>
    </r>
  </si>
  <si>
    <r>
      <t>s</t>
    </r>
    <r>
      <rPr>
        <b/>
        <i/>
        <vertAlign val="subscript"/>
        <sz val="10"/>
        <rFont val="Arial"/>
        <family val="2"/>
      </rPr>
      <t>c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[MPa]</t>
    </r>
  </si>
  <si>
    <r>
      <t>E</t>
    </r>
    <r>
      <rPr>
        <b/>
        <i/>
        <vertAlign val="subscript"/>
        <sz val="10"/>
        <rFont val="Arial"/>
        <family val="2"/>
      </rPr>
      <t>m</t>
    </r>
    <r>
      <rPr>
        <b/>
        <i/>
        <sz val="10"/>
        <rFont val="Arial"/>
        <family val="0"/>
      </rPr>
      <t xml:space="preserve"> </t>
    </r>
    <r>
      <rPr>
        <i/>
        <sz val="10"/>
        <rFont val="Arial"/>
        <family val="0"/>
      </rPr>
      <t>[GPa]</t>
    </r>
  </si>
  <si>
    <r>
      <t>s</t>
    </r>
    <r>
      <rPr>
        <b/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0"/>
      </rPr>
      <t xml:space="preserve"> = 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0"/>
      </rPr>
      <t xml:space="preserve"> + 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(m</t>
    </r>
    <r>
      <rPr>
        <b/>
        <i/>
        <vertAlign val="subscript"/>
        <sz val="10"/>
        <rFont val="Arial"/>
        <family val="2"/>
      </rPr>
      <t>b</t>
    </r>
    <r>
      <rPr>
        <b/>
        <i/>
        <sz val="10"/>
        <rFont val="Arial"/>
        <family val="0"/>
      </rPr>
      <t xml:space="preserve"> </t>
    </r>
    <r>
      <rPr>
        <b/>
        <i/>
        <vertAlign val="subscript"/>
        <sz val="10"/>
        <rFont val="Arial"/>
        <family val="2"/>
      </rPr>
      <t>*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3</t>
    </r>
    <r>
      <rPr>
        <b/>
        <i/>
        <sz val="10"/>
        <rFont val="Arial"/>
        <family val="0"/>
      </rPr>
      <t>/</t>
    </r>
    <r>
      <rPr>
        <b/>
        <i/>
        <sz val="10"/>
        <rFont val="Symbol"/>
        <family val="1"/>
      </rPr>
      <t>s</t>
    </r>
    <r>
      <rPr>
        <b/>
        <i/>
        <vertAlign val="subscript"/>
        <sz val="10"/>
        <rFont val="Arial"/>
        <family val="2"/>
      </rPr>
      <t>ci</t>
    </r>
    <r>
      <rPr>
        <b/>
        <i/>
        <sz val="10"/>
        <rFont val="Arial"/>
        <family val="0"/>
      </rPr>
      <t xml:space="preserve"> + s)</t>
    </r>
    <r>
      <rPr>
        <b/>
        <i/>
        <vertAlign val="superscript"/>
        <sz val="10"/>
        <rFont val="Arial"/>
        <family val="2"/>
      </rPr>
      <t xml:space="preserve">a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(Hoek et al., 2002)</t>
    </r>
  </si>
  <si>
    <t>rottura</t>
  </si>
  <si>
    <t>post-</t>
  </si>
  <si>
    <t>La Cementifera S.r.l.</t>
  </si>
  <si>
    <t>Robbiate (LC)</t>
  </si>
  <si>
    <t>02/01/03</t>
  </si>
  <si>
    <t>duro</t>
  </si>
  <si>
    <t>Piano di recupero "La Cementifera"</t>
  </si>
  <si>
    <t>[Piano di Brenno: Cretaceo sup.]</t>
  </si>
  <si>
    <t>RG 3</t>
  </si>
  <si>
    <t>in livelli di spessore variabile tra 1e 3 cm.</t>
  </si>
  <si>
    <t>B</t>
  </si>
  <si>
    <t>debolmente rugose</t>
  </si>
  <si>
    <t>debolmente alterate</t>
  </si>
  <si>
    <t>Alternanze di calcari marnosi grigi in strati di spessore variabile tra 5 e 15 cm e marne laminate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</si>
</sst>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  <numFmt numFmtId="171" formatCode="0.0"/>
    <numFmt numFmtId="172" formatCode="0.000000"/>
    <numFmt numFmtId="173" formatCode="0.00000"/>
    <numFmt numFmtId="174" formatCode="0.0000"/>
    <numFmt numFmtId="175" formatCode="0.0\ "/>
    <numFmt numFmtId="176" formatCode="_-* #,##0.0_-;\-* #,##0.0_-;_-* &quot;-&quot;_-;_-@_-"/>
    <numFmt numFmtId="177" formatCode="_-* #,##0.00_-;\-* #,##0.00_-;_-* &quot;-&quot;_-;_-@_-"/>
    <numFmt numFmtId="178" formatCode="_-* #,##0.000_-;\-* #,##0.000_-;_-* &quot;-&quot;_-;_-@_-"/>
    <numFmt numFmtId="179" formatCode="_-* #,##0.0000_-;\-* #,##0.0000_-;_-* &quot;-&quot;_-;_-@_-"/>
    <numFmt numFmtId="180" formatCode="_-* #,##0.00000_-;\-* #,##0.00000_-;_-* &quot;-&quot;_-;_-@_-"/>
    <numFmt numFmtId="181" formatCode="0."/>
    <numFmt numFmtId="182" formatCode="0.0000000"/>
    <numFmt numFmtId="183" formatCode="0.00E+0"/>
    <numFmt numFmtId="184" formatCode="0.00000000"/>
    <numFmt numFmtId="185" formatCode="0.000000000"/>
    <numFmt numFmtId="186" formatCode="0.0000000000"/>
    <numFmt numFmtId="187" formatCode="0.00000000000"/>
    <numFmt numFmtId="188" formatCode="0.0E+00"/>
    <numFmt numFmtId="189" formatCode="0E+00"/>
    <numFmt numFmtId="190" formatCode="0.000000000000"/>
    <numFmt numFmtId="191" formatCode="0.0000000000000"/>
    <numFmt numFmtId="192" formatCode="0.0000E+00"/>
    <numFmt numFmtId="193" formatCode="0.00000E+00"/>
    <numFmt numFmtId="194" formatCode="0.000E+0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vertAlign val="subscript"/>
      <sz val="10"/>
      <name val="Arial"/>
      <family val="2"/>
    </font>
    <font>
      <i/>
      <sz val="10"/>
      <color indexed="8"/>
      <name val="Arial"/>
      <family val="2"/>
    </font>
    <font>
      <sz val="10"/>
      <name val="Symbol"/>
      <family val="1"/>
    </font>
    <font>
      <b/>
      <i/>
      <sz val="10"/>
      <name val="Symbol"/>
      <family val="0"/>
    </font>
    <font>
      <vertAlign val="subscript"/>
      <sz val="10"/>
      <name val="Arial"/>
      <family val="2"/>
    </font>
    <font>
      <vertAlign val="subscript"/>
      <sz val="10"/>
      <name val="Symbol"/>
      <family val="1"/>
    </font>
    <font>
      <sz val="8"/>
      <name val="Arial"/>
      <family val="2"/>
    </font>
    <font>
      <b/>
      <sz val="11"/>
      <name val="Arial"/>
      <family val="2"/>
    </font>
    <font>
      <i/>
      <sz val="10"/>
      <color indexed="9"/>
      <name val="Arial"/>
      <family val="2"/>
    </font>
    <font>
      <i/>
      <vertAlign val="subscript"/>
      <sz val="10"/>
      <name val="Arial"/>
      <family val="2"/>
    </font>
    <font>
      <b/>
      <i/>
      <sz val="10"/>
      <color indexed="9"/>
      <name val="Arial"/>
      <family val="2"/>
    </font>
    <font>
      <b/>
      <i/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Symbol"/>
      <family val="1"/>
    </font>
    <font>
      <b/>
      <i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3" fillId="2" borderId="0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71" fontId="2" fillId="2" borderId="3" xfId="0" applyNumberFormat="1" applyFont="1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Continuous"/>
      <protection/>
    </xf>
    <xf numFmtId="0" fontId="0" fillId="2" borderId="0" xfId="0" applyFill="1" applyBorder="1" applyAlignment="1" applyProtection="1">
      <alignment horizontal="centerContinuous"/>
      <protection/>
    </xf>
    <xf numFmtId="0" fontId="2" fillId="2" borderId="0" xfId="0" applyFont="1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Border="1" applyAlignment="1" applyProtection="1">
      <alignment horizontal="center"/>
      <protection/>
    </xf>
    <xf numFmtId="14" fontId="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NumberFormat="1" applyFont="1" applyFill="1" applyBorder="1" applyAlignment="1" applyProtection="1">
      <alignment horizontal="center"/>
      <protection/>
    </xf>
    <xf numFmtId="174" fontId="2" fillId="2" borderId="0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/>
      <protection/>
    </xf>
    <xf numFmtId="171" fontId="2" fillId="2" borderId="5" xfId="0" applyNumberFormat="1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Continuous"/>
      <protection/>
    </xf>
    <xf numFmtId="171" fontId="2" fillId="2" borderId="0" xfId="16" applyNumberFormat="1" applyFont="1" applyFill="1" applyBorder="1" applyAlignment="1" applyProtection="1">
      <alignment horizontal="center"/>
      <protection/>
    </xf>
    <xf numFmtId="1" fontId="2" fillId="2" borderId="0" xfId="0" applyNumberFormat="1" applyFont="1" applyFill="1" applyBorder="1" applyAlignment="1" applyProtection="1">
      <alignment horizontal="left"/>
      <protection/>
    </xf>
    <xf numFmtId="0" fontId="2" fillId="2" borderId="0" xfId="0" applyNumberFormat="1" applyFont="1" applyFill="1" applyBorder="1" applyAlignment="1" applyProtection="1">
      <alignment horizontal="left"/>
      <protection/>
    </xf>
    <xf numFmtId="1" fontId="2" fillId="2" borderId="3" xfId="0" applyNumberFormat="1" applyFont="1" applyFill="1" applyBorder="1" applyAlignment="1" applyProtection="1">
      <alignment horizontal="left"/>
      <protection/>
    </xf>
    <xf numFmtId="14" fontId="2" fillId="2" borderId="3" xfId="0" applyNumberFormat="1" applyFont="1" applyFill="1" applyBorder="1" applyAlignment="1" applyProtection="1">
      <alignment horizontal="center"/>
      <protection/>
    </xf>
    <xf numFmtId="171" fontId="2" fillId="2" borderId="8" xfId="0" applyNumberFormat="1" applyFont="1" applyFill="1" applyBorder="1" applyAlignment="1" applyProtection="1">
      <alignment horizontal="center"/>
      <protection/>
    </xf>
    <xf numFmtId="174" fontId="2" fillId="2" borderId="8" xfId="0" applyNumberFormat="1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center"/>
      <protection/>
    </xf>
    <xf numFmtId="174" fontId="2" fillId="2" borderId="11" xfId="0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1" fontId="2" fillId="2" borderId="11" xfId="0" applyNumberFormat="1" applyFont="1" applyFill="1" applyBorder="1" applyAlignment="1" applyProtection="1">
      <alignment horizontal="center"/>
      <protection/>
    </xf>
    <xf numFmtId="1" fontId="2" fillId="2" borderId="10" xfId="0" applyNumberFormat="1" applyFont="1" applyFill="1" applyBorder="1" applyAlignment="1" applyProtection="1">
      <alignment horizontal="center"/>
      <protection/>
    </xf>
    <xf numFmtId="14" fontId="2" fillId="2" borderId="9" xfId="0" applyNumberFormat="1" applyFont="1" applyFill="1" applyBorder="1" applyAlignment="1" applyProtection="1">
      <alignment horizontal="left"/>
      <protection/>
    </xf>
    <xf numFmtId="0" fontId="2" fillId="2" borderId="11" xfId="0" applyNumberFormat="1" applyFont="1" applyFill="1" applyBorder="1" applyAlignment="1" applyProtection="1">
      <alignment horizontal="center"/>
      <protection/>
    </xf>
    <xf numFmtId="174" fontId="2" fillId="2" borderId="10" xfId="0" applyNumberFormat="1" applyFont="1" applyFill="1" applyBorder="1" applyAlignment="1" applyProtection="1">
      <alignment horizontal="center"/>
      <protection/>
    </xf>
    <xf numFmtId="1" fontId="2" fillId="2" borderId="0" xfId="0" applyNumberFormat="1" applyFont="1" applyFill="1" applyAlignment="1" applyProtection="1">
      <alignment horizontal="center"/>
      <protection/>
    </xf>
    <xf numFmtId="1" fontId="2" fillId="2" borderId="8" xfId="0" applyNumberFormat="1" applyFont="1" applyFill="1" applyBorder="1" applyAlignment="1" applyProtection="1">
      <alignment horizontal="center"/>
      <protection/>
    </xf>
    <xf numFmtId="1" fontId="2" fillId="2" borderId="7" xfId="0" applyNumberFormat="1" applyFont="1" applyFill="1" applyBorder="1" applyAlignment="1" applyProtection="1">
      <alignment horizontal="center"/>
      <protection/>
    </xf>
    <xf numFmtId="1" fontId="3" fillId="2" borderId="10" xfId="0" applyNumberFormat="1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 applyProtection="1">
      <alignment horizontal="centerContinuous"/>
      <protection/>
    </xf>
    <xf numFmtId="171" fontId="2" fillId="2" borderId="0" xfId="0" applyNumberFormat="1" applyFont="1" applyFill="1" applyBorder="1" applyAlignment="1" applyProtection="1">
      <alignment horizontal="left"/>
      <protection/>
    </xf>
    <xf numFmtId="14" fontId="2" fillId="2" borderId="5" xfId="0" applyNumberFormat="1" applyFont="1" applyFill="1" applyBorder="1" applyAlignment="1" applyProtection="1">
      <alignment horizontal="center"/>
      <protection/>
    </xf>
    <xf numFmtId="1" fontId="2" fillId="2" borderId="12" xfId="0" applyNumberFormat="1" applyFont="1" applyFill="1" applyBorder="1" applyAlignment="1" applyProtection="1">
      <alignment horizontal="left"/>
      <protection/>
    </xf>
    <xf numFmtId="0" fontId="2" fillId="2" borderId="12" xfId="0" applyNumberFormat="1" applyFont="1" applyFill="1" applyBorder="1" applyAlignment="1" applyProtection="1">
      <alignment horizontal="center"/>
      <protection/>
    </xf>
    <xf numFmtId="174" fontId="2" fillId="2" borderId="12" xfId="0" applyNumberFormat="1" applyFont="1" applyFill="1" applyBorder="1" applyAlignment="1" applyProtection="1">
      <alignment horizontal="center"/>
      <protection/>
    </xf>
    <xf numFmtId="174" fontId="2" fillId="2" borderId="7" xfId="0" applyNumberFormat="1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Continuous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 horizontal="center"/>
      <protection/>
    </xf>
    <xf numFmtId="171" fontId="2" fillId="2" borderId="5" xfId="0" applyNumberFormat="1" applyFont="1" applyFill="1" applyBorder="1" applyAlignment="1" applyProtection="1">
      <alignment horizontal="centerContinuous"/>
      <protection/>
    </xf>
    <xf numFmtId="171" fontId="2" fillId="2" borderId="12" xfId="0" applyNumberFormat="1" applyFont="1" applyFill="1" applyBorder="1" applyAlignment="1" applyProtection="1">
      <alignment horizontal="centerContinuous"/>
      <protection/>
    </xf>
    <xf numFmtId="171" fontId="2" fillId="2" borderId="0" xfId="0" applyNumberFormat="1" applyFont="1" applyFill="1" applyBorder="1" applyAlignment="1" applyProtection="1">
      <alignment horizontal="centerContinuous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2" fontId="2" fillId="2" borderId="5" xfId="0" applyNumberFormat="1" applyFont="1" applyFill="1" applyBorder="1" applyAlignment="1" applyProtection="1">
      <alignment horizontal="center"/>
      <protection/>
    </xf>
    <xf numFmtId="1" fontId="2" fillId="2" borderId="14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Alignment="1" applyProtection="1">
      <alignment/>
      <protection/>
    </xf>
    <xf numFmtId="174" fontId="3" fillId="2" borderId="0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2" fillId="2" borderId="14" xfId="0" applyFont="1" applyFill="1" applyBorder="1" applyAlignment="1" applyProtection="1">
      <alignment horizontal="center"/>
      <protection/>
    </xf>
    <xf numFmtId="2" fontId="2" fillId="2" borderId="0" xfId="0" applyNumberFormat="1" applyFont="1" applyFill="1" applyBorder="1" applyAlignment="1" applyProtection="1">
      <alignment horizontal="center"/>
      <protection/>
    </xf>
    <xf numFmtId="2" fontId="2" fillId="2" borderId="6" xfId="0" applyNumberFormat="1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Continuous"/>
      <protection/>
    </xf>
    <xf numFmtId="1" fontId="2" fillId="2" borderId="15" xfId="0" applyNumberFormat="1" applyFont="1" applyFill="1" applyBorder="1" applyAlignment="1" applyProtection="1">
      <alignment horizontal="centerContinuous"/>
      <protection/>
    </xf>
    <xf numFmtId="0" fontId="2" fillId="2" borderId="0" xfId="0" applyFont="1" applyFill="1" applyBorder="1" applyAlignment="1" applyProtection="1">
      <alignment horizontal="centerContinuous"/>
      <protection/>
    </xf>
    <xf numFmtId="2" fontId="2" fillId="2" borderId="3" xfId="0" applyNumberFormat="1" applyFont="1" applyFill="1" applyBorder="1" applyAlignment="1" applyProtection="1">
      <alignment horizontal="center"/>
      <protection/>
    </xf>
    <xf numFmtId="2" fontId="2" fillId="2" borderId="4" xfId="0" applyNumberFormat="1" applyFont="1" applyFill="1" applyBorder="1" applyAlignment="1" applyProtection="1">
      <alignment horizontal="center"/>
      <protection/>
    </xf>
    <xf numFmtId="171" fontId="2" fillId="2" borderId="0" xfId="0" applyNumberFormat="1" applyFont="1" applyFill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/>
    </xf>
    <xf numFmtId="0" fontId="0" fillId="2" borderId="16" xfId="0" applyFill="1" applyBorder="1" applyAlignment="1" applyProtection="1">
      <alignment/>
      <protection/>
    </xf>
    <xf numFmtId="1" fontId="2" fillId="2" borderId="17" xfId="0" applyNumberFormat="1" applyFont="1" applyFill="1" applyBorder="1" applyAlignment="1" applyProtection="1">
      <alignment horizontal="centerContinuous"/>
      <protection/>
    </xf>
    <xf numFmtId="0" fontId="0" fillId="2" borderId="18" xfId="0" applyFill="1" applyBorder="1" applyAlignment="1" applyProtection="1">
      <alignment horizontal="centerContinuous"/>
      <protection/>
    </xf>
    <xf numFmtId="0" fontId="0" fillId="2" borderId="19" xfId="0" applyFill="1" applyBorder="1" applyAlignment="1" applyProtection="1">
      <alignment/>
      <protection/>
    </xf>
    <xf numFmtId="0" fontId="6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Alignment="1" applyProtection="1">
      <alignment horizontal="center"/>
      <protection/>
    </xf>
    <xf numFmtId="2" fontId="2" fillId="2" borderId="22" xfId="0" applyNumberFormat="1" applyFont="1" applyFill="1" applyBorder="1" applyAlignment="1" applyProtection="1">
      <alignment horizontal="center"/>
      <protection/>
    </xf>
    <xf numFmtId="2" fontId="2" fillId="2" borderId="23" xfId="0" applyNumberFormat="1" applyFont="1" applyFill="1" applyBorder="1" applyAlignment="1" applyProtection="1">
      <alignment horizontal="center"/>
      <protection/>
    </xf>
    <xf numFmtId="2" fontId="2" fillId="2" borderId="24" xfId="0" applyNumberFormat="1" applyFont="1" applyFill="1" applyBorder="1" applyAlignment="1" applyProtection="1">
      <alignment horizontal="center"/>
      <protection/>
    </xf>
    <xf numFmtId="0" fontId="2" fillId="2" borderId="16" xfId="0" applyFont="1" applyFill="1" applyBorder="1" applyAlignment="1" applyProtection="1">
      <alignment horizontal="centerContinuous"/>
      <protection/>
    </xf>
    <xf numFmtId="0" fontId="2" fillId="2" borderId="19" xfId="0" applyFont="1" applyFill="1" applyBorder="1" applyAlignment="1" applyProtection="1">
      <alignment horizontal="center"/>
      <protection/>
    </xf>
    <xf numFmtId="0" fontId="6" fillId="2" borderId="25" xfId="0" applyFont="1" applyFill="1" applyBorder="1" applyAlignment="1" applyProtection="1">
      <alignment horizontal="center"/>
      <protection/>
    </xf>
    <xf numFmtId="2" fontId="2" fillId="2" borderId="25" xfId="0" applyNumberFormat="1" applyFont="1" applyFill="1" applyBorder="1" applyAlignment="1" applyProtection="1">
      <alignment horizontal="center"/>
      <protection/>
    </xf>
    <xf numFmtId="2" fontId="2" fillId="2" borderId="26" xfId="0" applyNumberFormat="1" applyFont="1" applyFill="1" applyBorder="1" applyAlignment="1" applyProtection="1">
      <alignment horizontal="center"/>
      <protection/>
    </xf>
    <xf numFmtId="0" fontId="6" fillId="2" borderId="27" xfId="0" applyFont="1" applyFill="1" applyBorder="1" applyAlignment="1" applyProtection="1">
      <alignment horizontal="center"/>
      <protection/>
    </xf>
    <xf numFmtId="0" fontId="2" fillId="2" borderId="28" xfId="0" applyFont="1" applyFill="1" applyBorder="1" applyAlignment="1" applyProtection="1">
      <alignment horizontal="center"/>
      <protection/>
    </xf>
    <xf numFmtId="2" fontId="5" fillId="2" borderId="3" xfId="0" applyNumberFormat="1" applyFont="1" applyFill="1" applyBorder="1" applyAlignment="1" applyProtection="1">
      <alignment horizontal="center"/>
      <protection/>
    </xf>
    <xf numFmtId="2" fontId="5" fillId="2" borderId="22" xfId="0" applyNumberFormat="1" applyFont="1" applyFill="1" applyBorder="1" applyAlignment="1" applyProtection="1">
      <alignment horizontal="center"/>
      <protection/>
    </xf>
    <xf numFmtId="1" fontId="5" fillId="2" borderId="29" xfId="0" applyNumberFormat="1" applyFont="1" applyFill="1" applyBorder="1" applyAlignment="1" applyProtection="1">
      <alignment horizontal="center"/>
      <protection/>
    </xf>
    <xf numFmtId="1" fontId="5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2" fillId="2" borderId="7" xfId="0" applyNumberFormat="1" applyFont="1" applyFill="1" applyBorder="1" applyAlignment="1" applyProtection="1">
      <alignment horizontal="center"/>
      <protection/>
    </xf>
    <xf numFmtId="2" fontId="2" fillId="2" borderId="8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/>
      <protection/>
    </xf>
    <xf numFmtId="170" fontId="3" fillId="2" borderId="0" xfId="0" applyNumberFormat="1" applyFont="1" applyFill="1" applyBorder="1" applyAlignment="1" applyProtection="1">
      <alignment horizontal="center"/>
      <protection/>
    </xf>
    <xf numFmtId="2" fontId="0" fillId="2" borderId="0" xfId="0" applyNumberFormat="1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Continuous"/>
      <protection/>
    </xf>
    <xf numFmtId="0" fontId="0" fillId="2" borderId="14" xfId="0" applyFill="1" applyBorder="1" applyAlignment="1" applyProtection="1">
      <alignment/>
      <protection/>
    </xf>
    <xf numFmtId="0" fontId="0" fillId="2" borderId="14" xfId="0" applyFill="1" applyBorder="1" applyAlignment="1" applyProtection="1">
      <alignment horizontal="centerContinuous"/>
      <protection/>
    </xf>
    <xf numFmtId="171" fontId="3" fillId="2" borderId="0" xfId="0" applyNumberFormat="1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/>
      <protection/>
    </xf>
    <xf numFmtId="0" fontId="0" fillId="2" borderId="12" xfId="0" applyFont="1" applyFill="1" applyBorder="1" applyAlignment="1" applyProtection="1">
      <alignment/>
      <protection/>
    </xf>
    <xf numFmtId="2" fontId="2" fillId="2" borderId="0" xfId="0" applyNumberFormat="1" applyFont="1" applyFill="1" applyBorder="1" applyAlignment="1" applyProtection="1">
      <alignment horizontal="centerContinuous"/>
      <protection/>
    </xf>
    <xf numFmtId="0" fontId="0" fillId="2" borderId="11" xfId="0" applyFont="1" applyFill="1" applyBorder="1" applyAlignment="1" applyProtection="1">
      <alignment/>
      <protection/>
    </xf>
    <xf numFmtId="1" fontId="3" fillId="2" borderId="7" xfId="0" applyNumberFormat="1" applyFont="1" applyFill="1" applyBorder="1" applyAlignment="1" applyProtection="1">
      <alignment horizontal="center"/>
      <protection/>
    </xf>
    <xf numFmtId="171" fontId="2" fillId="2" borderId="12" xfId="0" applyNumberFormat="1" applyFont="1" applyFill="1" applyBorder="1" applyAlignment="1" applyProtection="1">
      <alignment horizontal="center"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6" fillId="2" borderId="30" xfId="0" applyFont="1" applyFill="1" applyBorder="1" applyAlignment="1" applyProtection="1">
      <alignment horizontal="center"/>
      <protection/>
    </xf>
    <xf numFmtId="0" fontId="2" fillId="2" borderId="31" xfId="0" applyFont="1" applyFill="1" applyBorder="1" applyAlignment="1" applyProtection="1">
      <alignment horizontal="center"/>
      <protection/>
    </xf>
    <xf numFmtId="1" fontId="2" fillId="2" borderId="4" xfId="0" applyNumberFormat="1" applyFont="1" applyFill="1" applyBorder="1" applyAlignment="1" applyProtection="1">
      <alignment horizontal="center"/>
      <protection/>
    </xf>
    <xf numFmtId="2" fontId="5" fillId="2" borderId="0" xfId="0" applyNumberFormat="1" applyFont="1" applyFill="1" applyBorder="1" applyAlignment="1" applyProtection="1">
      <alignment horizontal="center"/>
      <protection/>
    </xf>
    <xf numFmtId="1" fontId="5" fillId="2" borderId="31" xfId="0" applyNumberFormat="1" applyFont="1" applyFill="1" applyBorder="1" applyAlignment="1" applyProtection="1">
      <alignment horizontal="center"/>
      <protection/>
    </xf>
    <xf numFmtId="1" fontId="2" fillId="2" borderId="24" xfId="0" applyNumberFormat="1" applyFont="1" applyFill="1" applyBorder="1" applyAlignment="1" applyProtection="1">
      <alignment horizontal="center"/>
      <protection/>
    </xf>
    <xf numFmtId="2" fontId="2" fillId="2" borderId="0" xfId="0" applyNumberFormat="1" applyFont="1" applyFill="1" applyAlignment="1" applyProtection="1">
      <alignment horizontal="center"/>
      <protection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71" fontId="2" fillId="3" borderId="5" xfId="0" applyNumberFormat="1" applyFont="1" applyFill="1" applyBorder="1" applyAlignment="1" applyProtection="1">
      <alignment horizontal="center"/>
      <protection locked="0"/>
    </xf>
    <xf numFmtId="171" fontId="2" fillId="3" borderId="7" xfId="16" applyNumberFormat="1" applyFont="1" applyFill="1" applyBorder="1" applyAlignment="1" applyProtection="1">
      <alignment horizontal="center"/>
      <protection locked="0"/>
    </xf>
    <xf numFmtId="171" fontId="2" fillId="3" borderId="7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right"/>
      <protection locked="0"/>
    </xf>
    <xf numFmtId="1" fontId="2" fillId="3" borderId="3" xfId="0" applyNumberFormat="1" applyFont="1" applyFill="1" applyBorder="1" applyAlignment="1" applyProtection="1">
      <alignment horizontal="right"/>
      <protection locked="0"/>
    </xf>
    <xf numFmtId="2" fontId="2" fillId="3" borderId="3" xfId="0" applyNumberFormat="1" applyFont="1" applyFill="1" applyBorder="1" applyAlignment="1" applyProtection="1">
      <alignment horizontal="left"/>
      <protection locked="0"/>
    </xf>
    <xf numFmtId="2" fontId="2" fillId="3" borderId="5" xfId="0" applyNumberFormat="1" applyFont="1" applyFill="1" applyBorder="1" applyAlignment="1" applyProtection="1">
      <alignment horizontal="left"/>
      <protection locked="0"/>
    </xf>
    <xf numFmtId="2" fontId="2" fillId="3" borderId="9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/>
    </xf>
    <xf numFmtId="0" fontId="2" fillId="2" borderId="13" xfId="0" applyFont="1" applyFill="1" applyBorder="1" applyAlignment="1" applyProtection="1">
      <alignment horizontal="center"/>
      <protection/>
    </xf>
    <xf numFmtId="1" fontId="2" fillId="2" borderId="5" xfId="0" applyNumberFormat="1" applyFont="1" applyFill="1" applyBorder="1" applyAlignment="1" applyProtection="1">
      <alignment horizontal="left"/>
      <protection/>
    </xf>
    <xf numFmtId="1" fontId="2" fillId="2" borderId="12" xfId="0" applyNumberFormat="1" applyFont="1" applyFill="1" applyBorder="1" applyAlignment="1" applyProtection="1">
      <alignment horizontal="center"/>
      <protection/>
    </xf>
    <xf numFmtId="1" fontId="0" fillId="2" borderId="12" xfId="0" applyNumberFormat="1" applyFont="1" applyFill="1" applyBorder="1" applyAlignment="1" applyProtection="1">
      <alignment/>
      <protection/>
    </xf>
    <xf numFmtId="0" fontId="2" fillId="2" borderId="6" xfId="0" applyFont="1" applyFill="1" applyBorder="1" applyAlignment="1" applyProtection="1">
      <alignment horizontal="center"/>
      <protection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1" fontId="12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center"/>
      <protection/>
    </xf>
    <xf numFmtId="170" fontId="2" fillId="2" borderId="10" xfId="0" applyNumberFormat="1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 horizontal="centerContinuous"/>
      <protection/>
    </xf>
    <xf numFmtId="0" fontId="0" fillId="2" borderId="11" xfId="0" applyFill="1" applyBorder="1" applyAlignment="1" applyProtection="1">
      <alignment horizontal="centerContinuous"/>
      <protection/>
    </xf>
    <xf numFmtId="0" fontId="3" fillId="2" borderId="11" xfId="0" applyFont="1" applyFill="1" applyBorder="1" applyAlignment="1" applyProtection="1">
      <alignment horizontal="centerContinuous"/>
      <protection/>
    </xf>
    <xf numFmtId="171" fontId="2" fillId="2" borderId="15" xfId="0" applyNumberFormat="1" applyFont="1" applyFill="1" applyBorder="1" applyAlignment="1" applyProtection="1">
      <alignment horizontal="centerContinuous"/>
      <protection/>
    </xf>
    <xf numFmtId="0" fontId="2" fillId="2" borderId="15" xfId="0" applyFont="1" applyFill="1" applyBorder="1" applyAlignment="1" applyProtection="1">
      <alignment horizontal="centerContinuous"/>
      <protection/>
    </xf>
    <xf numFmtId="0" fontId="1" fillId="2" borderId="11" xfId="0" applyFont="1" applyFill="1" applyBorder="1" applyAlignment="1" applyProtection="1">
      <alignment horizontal="centerContinuous"/>
      <protection/>
    </xf>
    <xf numFmtId="1" fontId="2" fillId="2" borderId="13" xfId="0" applyNumberFormat="1" applyFont="1" applyFill="1" applyBorder="1" applyAlignment="1" applyProtection="1">
      <alignment horizontal="centerContinuous"/>
      <protection/>
    </xf>
    <xf numFmtId="0" fontId="2" fillId="2" borderId="19" xfId="0" applyFont="1" applyFill="1" applyBorder="1" applyAlignment="1" applyProtection="1">
      <alignment horizontal="centerContinuous"/>
      <protection/>
    </xf>
    <xf numFmtId="1" fontId="2" fillId="2" borderId="14" xfId="0" applyNumberFormat="1" applyFont="1" applyFill="1" applyBorder="1" applyAlignment="1" applyProtection="1">
      <alignment horizontal="centerContinuous"/>
      <protection/>
    </xf>
    <xf numFmtId="1" fontId="2" fillId="2" borderId="5" xfId="0" applyNumberFormat="1" applyFont="1" applyFill="1" applyBorder="1" applyAlignment="1" applyProtection="1">
      <alignment horizontal="centerContinuous"/>
      <protection/>
    </xf>
    <xf numFmtId="0" fontId="0" fillId="2" borderId="28" xfId="0" applyFill="1" applyBorder="1" applyAlignment="1" applyProtection="1">
      <alignment horizontal="centerContinuous"/>
      <protection/>
    </xf>
    <xf numFmtId="171" fontId="5" fillId="2" borderId="0" xfId="0" applyNumberFormat="1" applyFont="1" applyFill="1" applyBorder="1" applyAlignment="1" applyProtection="1">
      <alignment horizontal="center"/>
      <protection/>
    </xf>
    <xf numFmtId="174" fontId="5" fillId="2" borderId="9" xfId="0" applyNumberFormat="1" applyFont="1" applyFill="1" applyBorder="1" applyAlignment="1" applyProtection="1">
      <alignment horizontal="center"/>
      <protection/>
    </xf>
    <xf numFmtId="174" fontId="5" fillId="2" borderId="15" xfId="0" applyNumberFormat="1" applyFont="1" applyFill="1" applyBorder="1" applyAlignment="1" applyProtection="1">
      <alignment horizontal="center"/>
      <protection/>
    </xf>
    <xf numFmtId="174" fontId="2" fillId="2" borderId="5" xfId="0" applyNumberFormat="1" applyFont="1" applyFill="1" applyBorder="1" applyAlignment="1" applyProtection="1">
      <alignment horizontal="center"/>
      <protection/>
    </xf>
    <xf numFmtId="174" fontId="2" fillId="2" borderId="14" xfId="0" applyNumberFormat="1" applyFont="1" applyFill="1" applyBorder="1" applyAlignment="1" applyProtection="1">
      <alignment horizontal="center"/>
      <protection/>
    </xf>
    <xf numFmtId="2" fontId="2" fillId="2" borderId="9" xfId="0" applyNumberFormat="1" applyFont="1" applyFill="1" applyBorder="1" applyAlignment="1" applyProtection="1">
      <alignment horizontal="center"/>
      <protection/>
    </xf>
    <xf numFmtId="2" fontId="2" fillId="2" borderId="15" xfId="0" applyNumberFormat="1" applyFont="1" applyFill="1" applyBorder="1" applyAlignment="1" applyProtection="1">
      <alignment horizontal="center"/>
      <protection/>
    </xf>
    <xf numFmtId="0" fontId="2" fillId="2" borderId="32" xfId="0" applyFont="1" applyFill="1" applyBorder="1" applyAlignment="1" applyProtection="1">
      <alignment horizontal="center"/>
      <protection/>
    </xf>
    <xf numFmtId="2" fontId="2" fillId="2" borderId="33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Alignment="1" applyProtection="1">
      <alignment horizontal="right"/>
      <protection/>
    </xf>
    <xf numFmtId="0" fontId="2" fillId="2" borderId="0" xfId="0" applyFont="1" applyFill="1" applyBorder="1" applyAlignment="1" applyProtection="1" quotePrefix="1">
      <alignment/>
      <protection/>
    </xf>
    <xf numFmtId="1" fontId="3" fillId="2" borderId="0" xfId="0" applyNumberFormat="1" applyFont="1" applyFill="1" applyBorder="1" applyAlignment="1" applyProtection="1">
      <alignment horizontal="center"/>
      <protection/>
    </xf>
    <xf numFmtId="2" fontId="3" fillId="2" borderId="7" xfId="0" applyNumberFormat="1" applyFont="1" applyFill="1" applyBorder="1" applyAlignment="1" applyProtection="1">
      <alignment horizontal="center"/>
      <protection/>
    </xf>
    <xf numFmtId="0" fontId="0" fillId="2" borderId="34" xfId="0" applyFill="1" applyBorder="1" applyAlignment="1" applyProtection="1">
      <alignment/>
      <protection/>
    </xf>
    <xf numFmtId="0" fontId="0" fillId="2" borderId="33" xfId="0" applyFill="1" applyBorder="1" applyAlignment="1" applyProtection="1">
      <alignment/>
      <protection/>
    </xf>
    <xf numFmtId="0" fontId="6" fillId="2" borderId="32" xfId="0" applyFont="1" applyFill="1" applyBorder="1" applyAlignment="1" applyProtection="1">
      <alignment horizontal="center"/>
      <protection/>
    </xf>
    <xf numFmtId="0" fontId="2" fillId="2" borderId="33" xfId="0" applyFont="1" applyFill="1" applyBorder="1" applyAlignment="1" applyProtection="1">
      <alignment horizontal="center"/>
      <protection/>
    </xf>
    <xf numFmtId="2" fontId="2" fillId="3" borderId="35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1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171" fontId="3" fillId="2" borderId="10" xfId="0" applyNumberFormat="1" applyFont="1" applyFill="1" applyBorder="1" applyAlignment="1" applyProtection="1">
      <alignment horizontal="center"/>
      <protection/>
    </xf>
    <xf numFmtId="14" fontId="2" fillId="2" borderId="0" xfId="0" applyNumberFormat="1" applyFont="1" applyFill="1" applyBorder="1" applyAlignment="1" applyProtection="1">
      <alignment horizontal="left"/>
      <protection/>
    </xf>
    <xf numFmtId="1" fontId="14" fillId="2" borderId="0" xfId="0" applyNumberFormat="1" applyFont="1" applyFill="1" applyBorder="1" applyAlignment="1" applyProtection="1">
      <alignment horizontal="center"/>
      <protection/>
    </xf>
    <xf numFmtId="2" fontId="3" fillId="2" borderId="1" xfId="0" applyNumberFormat="1" applyFont="1" applyFill="1" applyBorder="1" applyAlignment="1" applyProtection="1">
      <alignment/>
      <protection/>
    </xf>
    <xf numFmtId="2" fontId="0" fillId="2" borderId="13" xfId="0" applyNumberFormat="1" applyFill="1" applyBorder="1" applyAlignment="1" applyProtection="1">
      <alignment/>
      <protection/>
    </xf>
    <xf numFmtId="2" fontId="3" fillId="2" borderId="5" xfId="0" applyNumberFormat="1" applyFont="1" applyFill="1" applyBorder="1" applyAlignment="1" applyProtection="1">
      <alignment/>
      <protection/>
    </xf>
    <xf numFmtId="2" fontId="3" fillId="2" borderId="1" xfId="0" applyNumberFormat="1" applyFont="1" applyFill="1" applyBorder="1" applyAlignment="1" applyProtection="1">
      <alignment horizontal="centerContinuous"/>
      <protection/>
    </xf>
    <xf numFmtId="0" fontId="0" fillId="2" borderId="13" xfId="0" applyFill="1" applyBorder="1" applyAlignment="1" applyProtection="1">
      <alignment horizontal="centerContinuous"/>
      <protection/>
    </xf>
    <xf numFmtId="171" fontId="2" fillId="2" borderId="13" xfId="0" applyNumberFormat="1" applyFont="1" applyFill="1" applyBorder="1" applyAlignment="1" applyProtection="1">
      <alignment horizontal="center"/>
      <protection/>
    </xf>
    <xf numFmtId="1" fontId="3" fillId="2" borderId="6" xfId="0" applyNumberFormat="1" applyFont="1" applyFill="1" applyBorder="1" applyAlignment="1" applyProtection="1">
      <alignment horizontal="center"/>
      <protection/>
    </xf>
    <xf numFmtId="41" fontId="2" fillId="3" borderId="3" xfId="16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/>
      <protection/>
    </xf>
    <xf numFmtId="2" fontId="0" fillId="2" borderId="12" xfId="0" applyNumberFormat="1" applyFill="1" applyBorder="1" applyAlignment="1" applyProtection="1">
      <alignment horizontal="center"/>
      <protection/>
    </xf>
    <xf numFmtId="171" fontId="3" fillId="2" borderId="12" xfId="0" applyNumberFormat="1" applyFont="1" applyFill="1" applyBorder="1" applyAlignment="1" applyProtection="1">
      <alignment horizontal="center"/>
      <protection/>
    </xf>
    <xf numFmtId="171" fontId="3" fillId="2" borderId="12" xfId="0" applyNumberFormat="1" applyFont="1" applyFill="1" applyBorder="1" applyAlignment="1" applyProtection="1">
      <alignment horizontal="right"/>
      <protection/>
    </xf>
    <xf numFmtId="0" fontId="0" fillId="2" borderId="17" xfId="0" applyFill="1" applyBorder="1" applyAlignment="1" applyProtection="1">
      <alignment horizontal="centerContinuous"/>
      <protection/>
    </xf>
    <xf numFmtId="0" fontId="0" fillId="2" borderId="12" xfId="0" applyFill="1" applyBorder="1" applyAlignment="1" applyProtection="1">
      <alignment horizontal="centerContinuous"/>
      <protection/>
    </xf>
    <xf numFmtId="0" fontId="3" fillId="2" borderId="27" xfId="0" applyFont="1" applyFill="1" applyBorder="1" applyAlignment="1" applyProtection="1">
      <alignment horizontal="center"/>
      <protection/>
    </xf>
    <xf numFmtId="0" fontId="2" fillId="2" borderId="25" xfId="0" applyFont="1" applyFill="1" applyBorder="1" applyAlignment="1" applyProtection="1">
      <alignment horizontal="center"/>
      <protection/>
    </xf>
    <xf numFmtId="1" fontId="2" fillId="2" borderId="25" xfId="0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174" fontId="5" fillId="2" borderId="0" xfId="0" applyNumberFormat="1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right"/>
      <protection/>
    </xf>
    <xf numFmtId="170" fontId="2" fillId="2" borderId="0" xfId="0" applyNumberFormat="1" applyFont="1" applyFill="1" applyBorder="1" applyAlignment="1" applyProtection="1">
      <alignment horizontal="center"/>
      <protection/>
    </xf>
    <xf numFmtId="2" fontId="2" fillId="2" borderId="2" xfId="0" applyNumberFormat="1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1" fontId="2" fillId="2" borderId="2" xfId="0" applyNumberFormat="1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7" fillId="2" borderId="8" xfId="0" applyFont="1" applyFill="1" applyBorder="1" applyAlignment="1" applyProtection="1">
      <alignment horizontal="center"/>
      <protection/>
    </xf>
    <xf numFmtId="171" fontId="2" fillId="2" borderId="4" xfId="0" applyNumberFormat="1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0" fontId="7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/>
      <protection/>
    </xf>
    <xf numFmtId="188" fontId="2" fillId="2" borderId="8" xfId="0" applyNumberFormat="1" applyFont="1" applyFill="1" applyBorder="1" applyAlignment="1" applyProtection="1">
      <alignment horizontal="center"/>
      <protection/>
    </xf>
    <xf numFmtId="1" fontId="2" fillId="2" borderId="36" xfId="0" applyNumberFormat="1" applyFont="1" applyFill="1" applyBorder="1" applyAlignment="1" applyProtection="1">
      <alignment horizontal="centerContinuous"/>
      <protection/>
    </xf>
    <xf numFmtId="2" fontId="3" fillId="2" borderId="0" xfId="0" applyNumberFormat="1" applyFont="1" applyFill="1" applyBorder="1" applyAlignment="1" applyProtection="1">
      <alignment horizontal="center"/>
      <protection/>
    </xf>
    <xf numFmtId="1" fontId="2" fillId="3" borderId="3" xfId="0" applyNumberFormat="1" applyFont="1" applyFill="1" applyBorder="1" applyAlignment="1" applyProtection="1">
      <alignment horizontal="center"/>
      <protection/>
    </xf>
    <xf numFmtId="1" fontId="2" fillId="3" borderId="8" xfId="0" applyNumberFormat="1" applyFont="1" applyFill="1" applyBorder="1" applyAlignment="1" applyProtection="1">
      <alignment horizontal="center"/>
      <protection/>
    </xf>
    <xf numFmtId="1" fontId="0" fillId="3" borderId="3" xfId="0" applyNumberFormat="1" applyFill="1" applyBorder="1" applyAlignment="1" applyProtection="1">
      <alignment/>
      <protection/>
    </xf>
    <xf numFmtId="171" fontId="2" fillId="3" borderId="15" xfId="0" applyNumberFormat="1" applyFont="1" applyFill="1" applyBorder="1" applyAlignment="1" applyProtection="1">
      <alignment horizontal="center"/>
      <protection/>
    </xf>
    <xf numFmtId="1" fontId="2" fillId="3" borderId="13" xfId="0" applyNumberFormat="1" applyFont="1" applyFill="1" applyBorder="1" applyAlignment="1" applyProtection="1">
      <alignment horizontal="right"/>
      <protection/>
    </xf>
    <xf numFmtId="171" fontId="2" fillId="3" borderId="2" xfId="0" applyNumberFormat="1" applyFont="1" applyFill="1" applyBorder="1" applyAlignment="1" applyProtection="1">
      <alignment horizontal="center"/>
      <protection/>
    </xf>
    <xf numFmtId="1" fontId="12" fillId="2" borderId="0" xfId="0" applyNumberFormat="1" applyFont="1" applyFill="1" applyBorder="1" applyAlignment="1" applyProtection="1">
      <alignment horizontal="right"/>
      <protection/>
    </xf>
    <xf numFmtId="1" fontId="2" fillId="3" borderId="12" xfId="0" applyNumberFormat="1" applyFont="1" applyFill="1" applyBorder="1" applyAlignment="1" applyProtection="1">
      <alignment horizontal="right"/>
      <protection/>
    </xf>
    <xf numFmtId="171" fontId="2" fillId="3" borderId="14" xfId="0" applyNumberFormat="1" applyFont="1" applyFill="1" applyBorder="1" applyAlignment="1" applyProtection="1">
      <alignment horizontal="center"/>
      <protection/>
    </xf>
    <xf numFmtId="2" fontId="2" fillId="3" borderId="0" xfId="0" applyNumberFormat="1" applyFont="1" applyFill="1" applyBorder="1" applyAlignment="1" applyProtection="1">
      <alignment horizontal="right"/>
      <protection/>
    </xf>
    <xf numFmtId="171" fontId="2" fillId="3" borderId="4" xfId="0" applyNumberFormat="1" applyFont="1" applyFill="1" applyBorder="1" applyAlignment="1" applyProtection="1">
      <alignment horizontal="center"/>
      <protection/>
    </xf>
    <xf numFmtId="1" fontId="2" fillId="3" borderId="0" xfId="0" applyNumberFormat="1" applyFont="1" applyFill="1" applyBorder="1" applyAlignment="1" applyProtection="1">
      <alignment horizontal="right"/>
      <protection/>
    </xf>
    <xf numFmtId="2" fontId="2" fillId="3" borderId="0" xfId="0" applyNumberFormat="1" applyFont="1" applyFill="1" applyBorder="1" applyAlignment="1" applyProtection="1">
      <alignment horizontal="left"/>
      <protection/>
    </xf>
    <xf numFmtId="2" fontId="2" fillId="3" borderId="12" xfId="0" applyNumberFormat="1" applyFont="1" applyFill="1" applyBorder="1" applyAlignment="1" applyProtection="1">
      <alignment horizontal="left"/>
      <protection/>
    </xf>
    <xf numFmtId="171" fontId="2" fillId="3" borderId="14" xfId="0" applyNumberFormat="1" applyFont="1" applyFill="1" applyBorder="1" applyAlignment="1" applyProtection="1">
      <alignment horizontal="centerContinuous"/>
      <protection/>
    </xf>
    <xf numFmtId="2" fontId="2" fillId="3" borderId="11" xfId="0" applyNumberFormat="1" applyFont="1" applyFill="1" applyBorder="1" applyAlignment="1" applyProtection="1">
      <alignment horizontal="left"/>
      <protection/>
    </xf>
    <xf numFmtId="2" fontId="2" fillId="2" borderId="0" xfId="0" applyNumberFormat="1" applyFont="1" applyFill="1" applyBorder="1" applyAlignment="1" applyProtection="1">
      <alignment horizontal="left"/>
      <protection/>
    </xf>
    <xf numFmtId="0" fontId="0" fillId="2" borderId="5" xfId="0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 locked="0"/>
    </xf>
    <xf numFmtId="2" fontId="2" fillId="3" borderId="37" xfId="0" applyNumberFormat="1" applyFont="1" applyFill="1" applyBorder="1" applyAlignment="1" applyProtection="1">
      <alignment horizontal="center"/>
      <protection locked="0"/>
    </xf>
    <xf numFmtId="2" fontId="2" fillId="3" borderId="38" xfId="0" applyNumberFormat="1" applyFont="1" applyFill="1" applyBorder="1" applyAlignment="1" applyProtection="1">
      <alignment horizontal="center"/>
      <protection locked="0"/>
    </xf>
    <xf numFmtId="2" fontId="2" fillId="3" borderId="39" xfId="0" applyNumberFormat="1" applyFont="1" applyFill="1" applyBorder="1" applyAlignment="1" applyProtection="1">
      <alignment horizontal="center"/>
      <protection locked="0"/>
    </xf>
    <xf numFmtId="14" fontId="2" fillId="3" borderId="0" xfId="0" applyNumberFormat="1" applyFont="1" applyFill="1" applyBorder="1" applyAlignment="1" applyProtection="1" quotePrefix="1">
      <alignment horizontal="left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 applyProtection="1">
      <alignment horizontal="center"/>
      <protection/>
    </xf>
    <xf numFmtId="0" fontId="0" fillId="3" borderId="13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12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12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 applyProtection="1">
      <alignment horizontal="right"/>
      <protection/>
    </xf>
    <xf numFmtId="0" fontId="0" fillId="3" borderId="5" xfId="0" applyFill="1" applyBorder="1" applyAlignment="1" applyProtection="1">
      <alignment horizontal="center"/>
      <protection/>
    </xf>
    <xf numFmtId="0" fontId="0" fillId="3" borderId="14" xfId="0" applyFill="1" applyBorder="1" applyAlignment="1" applyProtection="1">
      <alignment horizontal="center"/>
      <protection/>
    </xf>
    <xf numFmtId="0" fontId="2" fillId="2" borderId="12" xfId="0" applyFont="1" applyFill="1" applyBorder="1" applyAlignment="1" applyProtection="1">
      <alignment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center"/>
    </xf>
    <xf numFmtId="0" fontId="2" fillId="2" borderId="11" xfId="0" applyFont="1" applyFill="1" applyBorder="1" applyAlignment="1" applyProtection="1">
      <alignment horizontal="left"/>
      <protection/>
    </xf>
    <xf numFmtId="0" fontId="2" fillId="2" borderId="15" xfId="0" applyFont="1" applyFill="1" applyBorder="1" applyAlignment="1" applyProtection="1">
      <alignment horizontal="center"/>
      <protection/>
    </xf>
    <xf numFmtId="171" fontId="5" fillId="2" borderId="7" xfId="0" applyNumberFormat="1" applyFont="1" applyFill="1" applyBorder="1" applyAlignment="1" applyProtection="1">
      <alignment horizontal="center"/>
      <protection locked="0"/>
    </xf>
    <xf numFmtId="171" fontId="3" fillId="2" borderId="2" xfId="0" applyNumberFormat="1" applyFont="1" applyFill="1" applyBorder="1" applyAlignment="1" applyProtection="1">
      <alignment horizontal="center"/>
      <protection/>
    </xf>
    <xf numFmtId="0" fontId="2" fillId="3" borderId="15" xfId="0" applyFont="1" applyFill="1" applyBorder="1" applyAlignment="1" applyProtection="1">
      <alignment horizontal="left"/>
      <protection/>
    </xf>
    <xf numFmtId="0" fontId="2" fillId="3" borderId="13" xfId="0" applyFont="1" applyFill="1" applyBorder="1" applyAlignment="1" applyProtection="1">
      <alignment horizontal="left"/>
      <protection/>
    </xf>
    <xf numFmtId="0" fontId="2" fillId="3" borderId="0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left"/>
      <protection/>
    </xf>
    <xf numFmtId="2" fontId="0" fillId="3" borderId="13" xfId="0" applyNumberFormat="1" applyFill="1" applyBorder="1" applyAlignment="1" applyProtection="1">
      <alignment/>
      <protection/>
    </xf>
    <xf numFmtId="171" fontId="2" fillId="3" borderId="13" xfId="0" applyNumberFormat="1" applyFont="1" applyFill="1" applyBorder="1" applyAlignment="1" applyProtection="1">
      <alignment horizontal="center"/>
      <protection/>
    </xf>
    <xf numFmtId="2" fontId="0" fillId="3" borderId="0" xfId="0" applyNumberFormat="1" applyFill="1" applyBorder="1" applyAlignment="1" applyProtection="1">
      <alignment/>
      <protection/>
    </xf>
    <xf numFmtId="171" fontId="2" fillId="3" borderId="0" xfId="0" applyNumberFormat="1" applyFont="1" applyFill="1" applyBorder="1" applyAlignment="1" applyProtection="1">
      <alignment horizontal="center"/>
      <protection/>
    </xf>
    <xf numFmtId="2" fontId="0" fillId="3" borderId="12" xfId="0" applyNumberFormat="1" applyFill="1" applyBorder="1" applyAlignment="1" applyProtection="1">
      <alignment/>
      <protection/>
    </xf>
    <xf numFmtId="171" fontId="2" fillId="3" borderId="12" xfId="0" applyNumberFormat="1" applyFont="1" applyFill="1" applyBorder="1" applyAlignment="1" applyProtection="1">
      <alignment horizontal="center"/>
      <protection/>
    </xf>
    <xf numFmtId="2" fontId="5" fillId="2" borderId="7" xfId="0" applyNumberFormat="1" applyFont="1" applyFill="1" applyBorder="1" applyAlignment="1" applyProtection="1">
      <alignment horizontal="center"/>
      <protection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center"/>
      <protection locked="0"/>
    </xf>
    <xf numFmtId="1" fontId="2" fillId="2" borderId="9" xfId="0" applyNumberFormat="1" applyFont="1" applyFill="1" applyBorder="1" applyAlignment="1" applyProtection="1">
      <alignment horizontal="right"/>
      <protection/>
    </xf>
    <xf numFmtId="1" fontId="2" fillId="2" borderId="11" xfId="0" applyNumberFormat="1" applyFont="1" applyFill="1" applyBorder="1" applyAlignment="1" applyProtection="1">
      <alignment horizontal="right"/>
      <protection/>
    </xf>
    <xf numFmtId="171" fontId="2" fillId="2" borderId="15" xfId="0" applyNumberFormat="1" applyFont="1" applyFill="1" applyBorder="1" applyAlignment="1" applyProtection="1">
      <alignment horizontal="center"/>
      <protection/>
    </xf>
    <xf numFmtId="171" fontId="5" fillId="2" borderId="0" xfId="0" applyNumberFormat="1" applyFont="1" applyFill="1" applyBorder="1" applyAlignment="1" applyProtection="1">
      <alignment horizontal="center"/>
      <protection locked="0"/>
    </xf>
    <xf numFmtId="174" fontId="2" fillId="3" borderId="1" xfId="0" applyNumberFormat="1" applyFont="1" applyFill="1" applyBorder="1" applyAlignment="1" applyProtection="1">
      <alignment horizontal="left"/>
      <protection locked="0"/>
    </xf>
    <xf numFmtId="174" fontId="2" fillId="3" borderId="3" xfId="0" applyNumberFormat="1" applyFont="1" applyFill="1" applyBorder="1" applyAlignment="1" applyProtection="1">
      <alignment horizontal="left"/>
      <protection locked="0"/>
    </xf>
    <xf numFmtId="174" fontId="2" fillId="3" borderId="5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/>
      <protection/>
    </xf>
    <xf numFmtId="0" fontId="2" fillId="2" borderId="11" xfId="0" applyFont="1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3" fillId="2" borderId="9" xfId="0" applyFont="1" applyFill="1" applyBorder="1" applyAlignment="1" applyProtection="1">
      <alignment horizontal="center"/>
      <protection/>
    </xf>
    <xf numFmtId="171" fontId="2" fillId="3" borderId="10" xfId="0" applyNumberFormat="1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right"/>
      <protection/>
    </xf>
    <xf numFmtId="0" fontId="17" fillId="2" borderId="6" xfId="0" applyFont="1" applyFill="1" applyBorder="1" applyAlignment="1" applyProtection="1">
      <alignment horizontal="right"/>
      <protection/>
    </xf>
    <xf numFmtId="0" fontId="2" fillId="2" borderId="40" xfId="0" applyFont="1" applyFill="1" applyBorder="1" applyAlignment="1" applyProtection="1">
      <alignment horizontal="centerContinuous"/>
      <protection/>
    </xf>
    <xf numFmtId="0" fontId="2" fillId="2" borderId="41" xfId="0" applyFont="1" applyFill="1" applyBorder="1" applyAlignment="1" applyProtection="1">
      <alignment horizontal="center"/>
      <protection/>
    </xf>
    <xf numFmtId="0" fontId="6" fillId="2" borderId="42" xfId="0" applyFont="1" applyFill="1" applyBorder="1" applyAlignment="1" applyProtection="1">
      <alignment horizontal="center"/>
      <protection/>
    </xf>
    <xf numFmtId="0" fontId="2" fillId="2" borderId="43" xfId="0" applyFont="1" applyFill="1" applyBorder="1" applyAlignment="1" applyProtection="1">
      <alignment horizontal="center"/>
      <protection/>
    </xf>
    <xf numFmtId="2" fontId="2" fillId="2" borderId="42" xfId="0" applyNumberFormat="1" applyFont="1" applyFill="1" applyBorder="1" applyAlignment="1" applyProtection="1">
      <alignment horizontal="center"/>
      <protection/>
    </xf>
    <xf numFmtId="2" fontId="2" fillId="2" borderId="44" xfId="0" applyNumberFormat="1" applyFont="1" applyFill="1" applyBorder="1" applyAlignment="1" applyProtection="1">
      <alignment horizontal="center"/>
      <protection/>
    </xf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17" fillId="2" borderId="1" xfId="0" applyFont="1" applyFill="1" applyBorder="1" applyAlignment="1" applyProtection="1">
      <alignment horizontal="right"/>
      <protection/>
    </xf>
    <xf numFmtId="0" fontId="11" fillId="2" borderId="0" xfId="0" applyFon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1" fontId="2" fillId="2" borderId="6" xfId="0" applyNumberFormat="1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4" xfId="0" applyFont="1" applyFill="1" applyBorder="1" applyAlignment="1" applyProtection="1">
      <alignment horizontal="center"/>
      <protection/>
    </xf>
    <xf numFmtId="14" fontId="3" fillId="2" borderId="9" xfId="0" applyNumberFormat="1" applyFont="1" applyFill="1" applyBorder="1" applyAlignment="1" applyProtection="1">
      <alignment horizontal="center"/>
      <protection/>
    </xf>
    <xf numFmtId="14" fontId="3" fillId="2" borderId="11" xfId="0" applyNumberFormat="1" applyFont="1" applyFill="1" applyBorder="1" applyAlignment="1" applyProtection="1">
      <alignment horizontal="center"/>
      <protection/>
    </xf>
    <xf numFmtId="14" fontId="3" fillId="2" borderId="15" xfId="0" applyNumberFormat="1" applyFont="1" applyFill="1" applyBorder="1" applyAlignment="1" applyProtection="1">
      <alignment horizontal="center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5" xfId="0" applyFont="1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 applyAlignment="1" applyProtection="1">
      <alignment horizontal="center"/>
      <protection locked="0"/>
    </xf>
    <xf numFmtId="0" fontId="18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Classificazione geomeccanica dell'ammasso roccioso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3075"/>
          <c:w val="0.8965"/>
          <c:h val="0.79925"/>
        </c:manualLayout>
      </c:layout>
      <c:scatterChart>
        <c:scatterStyle val="lineMarker"/>
        <c:varyColors val="0"/>
        <c:ser>
          <c:idx val="0"/>
          <c:order val="0"/>
          <c:tx>
            <c:v>GSI = 9 ln Q' + 44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'Q''_GSI'!$P$82:$P$88</c:f>
              <c:numCache/>
            </c:numRef>
          </c:yVal>
          <c:smooth val="0"/>
        </c:ser>
        <c:ser>
          <c:idx val="1"/>
          <c:order val="1"/>
          <c:tx>
            <c:v>GSI = 10 ln Q' + 32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'Q''_GSI'!$R$82:$R$88</c:f>
              <c:numCache/>
            </c:numRef>
          </c:yVal>
          <c:smooth val="0"/>
        </c:ser>
        <c:ser>
          <c:idx val="2"/>
          <c:order val="2"/>
          <c:tx>
            <c:v>RMR = 9 ln Q + 26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'Q''_GSI'!$O$82:$O$88</c:f>
              <c:numCache/>
            </c:numRef>
          </c:xVal>
          <c:yVal>
            <c:numRef>
              <c:f>'Q''_GSI'!$S$82:$S$88</c:f>
              <c:numCache/>
            </c:numRef>
          </c:yVal>
          <c:smooth val="0"/>
        </c:ser>
        <c:ser>
          <c:idx val="3"/>
          <c:order val="3"/>
          <c:tx>
            <c:v>BMR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'Q''_GSI'!$O$92</c:f>
              <c:numCache/>
            </c:numRef>
          </c:xVal>
          <c:yVal>
            <c:numRef>
              <c:f>'Q''_GSI'!$P$92</c:f>
              <c:numCache/>
            </c:numRef>
          </c:yVal>
          <c:smooth val="0"/>
        </c:ser>
        <c:axId val="66975444"/>
        <c:axId val="65908085"/>
      </c:scatterChart>
      <c:valAx>
        <c:axId val="66975444"/>
        <c:scaling>
          <c:logBase val="10"/>
          <c:orientation val="minMax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Q'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crossAx val="65908085"/>
        <c:crossesAt val="0"/>
        <c:crossBetween val="midCat"/>
        <c:dispUnits/>
      </c:valAx>
      <c:valAx>
        <c:axId val="6590808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GSI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975444"/>
        <c:crossesAt val="0.001"/>
        <c:crossBetween val="midCat"/>
        <c:dispUnits/>
        <c:minorUnit val="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21"/>
          <c:y val="0.22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275"/>
          <c:w val="0.73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Hoek e Brown -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'Q''_GSI'!$B$149:$B$199</c:f>
              <c:numCache>
                <c:ptCount val="51"/>
                <c:pt idx="0">
                  <c:v>1.9995218076668821</c:v>
                </c:pt>
                <c:pt idx="1">
                  <c:v>2.622963717345705</c:v>
                </c:pt>
                <c:pt idx="2">
                  <c:v>3.1449043297933765</c:v>
                </c:pt>
                <c:pt idx="3">
                  <c:v>3.605972558448144</c:v>
                </c:pt>
                <c:pt idx="4">
                  <c:v>4.02524468099083</c:v>
                </c:pt>
                <c:pt idx="5">
                  <c:v>4.413506451411507</c:v>
                </c:pt>
                <c:pt idx="6">
                  <c:v>4.777565380034459</c:v>
                </c:pt>
                <c:pt idx="7">
                  <c:v>5.122046191336266</c:v>
                </c:pt>
                <c:pt idx="8">
                  <c:v>5.450261544611565</c:v>
                </c:pt>
                <c:pt idx="9">
                  <c:v>5.764681156571263</c:v>
                </c:pt>
                <c:pt idx="10">
                  <c:v>6.067204944288178</c:v>
                </c:pt>
                <c:pt idx="11">
                  <c:v>6.642269365755723</c:v>
                </c:pt>
                <c:pt idx="12">
                  <c:v>7.1843686301979535</c:v>
                </c:pt>
                <c:pt idx="13">
                  <c:v>7.699634737116758</c:v>
                </c:pt>
                <c:pt idx="14">
                  <c:v>8.192501127857096</c:v>
                </c:pt>
                <c:pt idx="15">
                  <c:v>8.666297045394154</c:v>
                </c:pt>
                <c:pt idx="16">
                  <c:v>9.123598417701368</c:v>
                </c:pt>
                <c:pt idx="17">
                  <c:v>9.566447127606773</c:v>
                </c:pt>
                <c:pt idx="18">
                  <c:v>9.996494423751434</c:v>
                </c:pt>
                <c:pt idx="19">
                  <c:v>10.415098288226318</c:v>
                </c:pt>
                <c:pt idx="20">
                  <c:v>10.823391640735135</c:v>
                </c:pt>
                <c:pt idx="21">
                  <c:v>11.222331397781932</c:v>
                </c:pt>
                <c:pt idx="22">
                  <c:v>11.612734574514949</c:v>
                </c:pt>
                <c:pt idx="23">
                  <c:v>11.995305383171935</c:v>
                </c:pt>
                <c:pt idx="24">
                  <c:v>12.370655930287105</c:v>
                </c:pt>
                <c:pt idx="25">
                  <c:v>12.739322269889854</c:v>
                </c:pt>
                <c:pt idx="26">
                  <c:v>13.458439444610192</c:v>
                </c:pt>
                <c:pt idx="27">
                  <c:v>14.155844358303284</c:v>
                </c:pt>
                <c:pt idx="28">
                  <c:v>14.834095498702185</c:v>
                </c:pt>
                <c:pt idx="29">
                  <c:v>15.495283734710647</c:v>
                </c:pt>
                <c:pt idx="30">
                  <c:v>16.141144020815666</c:v>
                </c:pt>
                <c:pt idx="31">
                  <c:v>16.77313494871574</c:v>
                </c:pt>
                <c:pt idx="32">
                  <c:v>17.392496786414533</c:v>
                </c:pt>
                <c:pt idx="33">
                  <c:v>18.000294717284515</c:v>
                </c:pt>
                <c:pt idx="34">
                  <c:v>18.59745164774886</c:v>
                </c:pt>
                <c:pt idx="35">
                  <c:v>19.184773505014093</c:v>
                </c:pt>
                <c:pt idx="36">
                  <c:v>19.762969025676725</c:v>
                </c:pt>
                <c:pt idx="37">
                  <c:v>20.332665434821806</c:v>
                </c:pt>
                <c:pt idx="38">
                  <c:v>20.89442101334487</c:v>
                </c:pt>
                <c:pt idx="39">
                  <c:v>21.448735276914043</c:v>
                </c:pt>
                <c:pt idx="40">
                  <c:v>21.996057299199254</c:v>
                </c:pt>
                <c:pt idx="41">
                  <c:v>23.336340371167015</c:v>
                </c:pt>
                <c:pt idx="42">
                  <c:v>24.640746041910216</c:v>
                </c:pt>
                <c:pt idx="43">
                  <c:v>25.913583067776003</c:v>
                </c:pt>
                <c:pt idx="44">
                  <c:v>27.15835868920885</c:v>
                </c:pt>
                <c:pt idx="45">
                  <c:v>28.377973266323643</c:v>
                </c:pt>
                <c:pt idx="46">
                  <c:v>29.57485802286306</c:v>
                </c:pt>
                <c:pt idx="47">
                  <c:v>30.751074999687052</c:v>
                </c:pt>
                <c:pt idx="48">
                  <c:v>31.908391171114673</c:v>
                </c:pt>
                <c:pt idx="49">
                  <c:v>33.04833444946742</c:v>
                </c:pt>
                <c:pt idx="50">
                  <c:v>34.1722367125074</c:v>
                </c:pt>
              </c:numCache>
            </c:numRef>
          </c:yVal>
          <c:smooth val="1"/>
        </c:ser>
        <c:ser>
          <c:idx val="1"/>
          <c:order val="1"/>
          <c:tx>
            <c:v>Hoek e Brown - residuo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'Q''_GSI'!$C$149:$C$199</c:f>
              <c:numCache>
                <c:ptCount val="51"/>
                <c:pt idx="0">
                  <c:v>1.5408095552561474</c:v>
                </c:pt>
                <c:pt idx="1">
                  <c:v>2.173124136134597</c:v>
                </c:pt>
                <c:pt idx="2">
                  <c:v>2.684348433755236</c:v>
                </c:pt>
                <c:pt idx="3">
                  <c:v>3.129204847051003</c:v>
                </c:pt>
                <c:pt idx="4">
                  <c:v>3.530463357762004</c:v>
                </c:pt>
                <c:pt idx="5">
                  <c:v>3.900222722448659</c:v>
                </c:pt>
                <c:pt idx="6">
                  <c:v>4.245830533802021</c:v>
                </c:pt>
                <c:pt idx="7">
                  <c:v>4.572148430199959</c:v>
                </c:pt>
                <c:pt idx="8">
                  <c:v>4.882592392223629</c:v>
                </c:pt>
                <c:pt idx="9">
                  <c:v>5.1796720836550305</c:v>
                </c:pt>
                <c:pt idx="10">
                  <c:v>5.4652959795076015</c:v>
                </c:pt>
                <c:pt idx="11">
                  <c:v>6.007843978105541</c:v>
                </c:pt>
                <c:pt idx="12">
                  <c:v>6.519022197053845</c:v>
                </c:pt>
                <c:pt idx="13">
                  <c:v>7.004805234949957</c:v>
                </c:pt>
                <c:pt idx="14">
                  <c:v>7.469476140057598</c:v>
                </c:pt>
                <c:pt idx="15">
                  <c:v>7.916230296225296</c:v>
                </c:pt>
                <c:pt idx="16">
                  <c:v>8.347527337407918</c:v>
                </c:pt>
                <c:pt idx="17">
                  <c:v>8.765308837892988</c:v>
                </c:pt>
                <c:pt idx="18">
                  <c:v>9.171139529084087</c:v>
                </c:pt>
                <c:pt idx="19">
                  <c:v>9.566302533546017</c:v>
                </c:pt>
                <c:pt idx="20">
                  <c:v>9.95186569933424</c:v>
                </c:pt>
                <c:pt idx="21">
                  <c:v>10.328729086140308</c:v>
                </c:pt>
                <c:pt idx="22">
                  <c:v>10.697659765937031</c:v>
                </c:pt>
                <c:pt idx="23">
                  <c:v>11.059317851468409</c:v>
                </c:pt>
                <c:pt idx="24">
                  <c:v>11.414276314046361</c:v>
                </c:pt>
                <c:pt idx="25">
                  <c:v>11.763036312185688</c:v>
                </c:pt>
                <c:pt idx="26">
                  <c:v>12.443676154695918</c:v>
                </c:pt>
                <c:pt idx="27">
                  <c:v>13.104210064161933</c:v>
                </c:pt>
                <c:pt idx="28">
                  <c:v>13.747020223175712</c:v>
                </c:pt>
                <c:pt idx="29">
                  <c:v>14.374050785403432</c:v>
                </c:pt>
                <c:pt idx="30">
                  <c:v>14.98691314196535</c:v>
                </c:pt>
                <c:pt idx="31">
                  <c:v>15.586960711121542</c:v>
                </c:pt>
                <c:pt idx="32">
                  <c:v>16.175343393461677</c:v>
                </c:pt>
                <c:pt idx="33">
                  <c:v>16.753048070778597</c:v>
                </c:pt>
                <c:pt idx="34">
                  <c:v>17.320929288458053</c:v>
                </c:pt>
                <c:pt idx="35">
                  <c:v>17.879732883294658</c:v>
                </c:pt>
                <c:pt idx="36">
                  <c:v>18.430114444407327</c:v>
                </c:pt>
                <c:pt idx="37">
                  <c:v>18.972653925319538</c:v>
                </c:pt>
                <c:pt idx="38">
                  <c:v>19.50786734528092</c:v>
                </c:pt>
                <c:pt idx="39">
                  <c:v>20.03621625900975</c:v>
                </c:pt>
                <c:pt idx="40">
                  <c:v>20.558115494263244</c:v>
                </c:pt>
                <c:pt idx="41">
                  <c:v>21.837018606135683</c:v>
                </c:pt>
                <c:pt idx="42">
                  <c:v>23.082834902898455</c:v>
                </c:pt>
                <c:pt idx="43">
                  <c:v>24.299540385131774</c:v>
                </c:pt>
                <c:pt idx="44">
                  <c:v>25.490370314500684</c:v>
                </c:pt>
                <c:pt idx="45">
                  <c:v>26.657999413624374</c:v>
                </c:pt>
                <c:pt idx="46">
                  <c:v>27.804669294868273</c:v>
                </c:pt>
                <c:pt idx="47">
                  <c:v>28.93228086914856</c:v>
                </c:pt>
                <c:pt idx="48">
                  <c:v>30.042462830890457</c:v>
                </c:pt>
                <c:pt idx="49">
                  <c:v>31.136623383769813</c:v>
                </c:pt>
                <c:pt idx="50">
                  <c:v>32.21598996542748</c:v>
                </c:pt>
              </c:numCache>
            </c:numRef>
          </c:yVal>
          <c:smooth val="1"/>
        </c:ser>
        <c:axId val="56301854"/>
        <c:axId val="36954639"/>
      </c:scatterChart>
      <c:valAx>
        <c:axId val="56301854"/>
        <c:scaling>
          <c:orientation val="minMax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36954639"/>
        <c:crossesAt val="0"/>
        <c:crossBetween val="midCat"/>
        <c:dispUnits/>
        <c:majorUnit val="5"/>
        <c:minorUnit val="1"/>
      </c:valAx>
      <c:valAx>
        <c:axId val="3695463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[MPa]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56301854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5"/>
          <c:w val="0.85875"/>
          <c:h val="0.912"/>
        </c:manualLayout>
      </c:layout>
      <c:scatterChart>
        <c:scatterStyle val="smooth"/>
        <c:varyColors val="0"/>
        <c:ser>
          <c:idx val="0"/>
          <c:order val="0"/>
          <c:tx>
            <c:v>condizioni di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'Q''_GSI'!$D$148:$D$199</c:f>
              <c:numCache>
                <c:ptCount val="52"/>
                <c:pt idx="0">
                  <c:v>0.0004725536502365735</c:v>
                </c:pt>
                <c:pt idx="1">
                  <c:v>0.13315317506341307</c:v>
                </c:pt>
                <c:pt idx="2">
                  <c:v>0.25995350765897784</c:v>
                </c:pt>
                <c:pt idx="3">
                  <c:v>0.3833792152732891</c:v>
                </c:pt>
                <c:pt idx="4">
                  <c:v>0.5041713322909183</c:v>
                </c:pt>
                <c:pt idx="5">
                  <c:v>0.6227867831262415</c:v>
                </c:pt>
                <c:pt idx="6">
                  <c:v>0.7395403362786528</c:v>
                </c:pt>
                <c:pt idx="7">
                  <c:v>0.8546639625585355</c:v>
                </c:pt>
                <c:pt idx="8">
                  <c:v>0.9683366332437049</c:v>
                </c:pt>
                <c:pt idx="9">
                  <c:v>1.0807011113152512</c:v>
                </c:pt>
                <c:pt idx="10">
                  <c:v>1.1918742092307062</c:v>
                </c:pt>
                <c:pt idx="11">
                  <c:v>1.3019534430564577</c:v>
                </c:pt>
                <c:pt idx="12">
                  <c:v>1.519149700689502</c:v>
                </c:pt>
                <c:pt idx="13">
                  <c:v>1.7328261287999873</c:v>
                </c:pt>
                <c:pt idx="14">
                  <c:v>1.943395055572429</c:v>
                </c:pt>
                <c:pt idx="15">
                  <c:v>2.1511839729825892</c:v>
                </c:pt>
                <c:pt idx="16">
                  <c:v>2.356459567280701</c:v>
                </c:pt>
                <c:pt idx="17">
                  <c:v>2.5594433649990154</c:v>
                </c:pt>
                <c:pt idx="18">
                  <c:v>2.760322385433572</c:v>
                </c:pt>
                <c:pt idx="19">
                  <c:v>2.9592566588352596</c:v>
                </c:pt>
                <c:pt idx="20">
                  <c:v>3.156384691921031</c:v>
                </c:pt>
                <c:pt idx="21">
                  <c:v>3.351827540985389</c:v>
                </c:pt>
                <c:pt idx="22">
                  <c:v>3.5456919121436425</c:v>
                </c:pt>
                <c:pt idx="23">
                  <c:v>3.738072564438869</c:v>
                </c:pt>
                <c:pt idx="24">
                  <c:v>3.929054202362305</c:v>
                </c:pt>
                <c:pt idx="25">
                  <c:v>4.11871298721141</c:v>
                </c:pt>
                <c:pt idx="26">
                  <c:v>4.307117759075464</c:v>
                </c:pt>
                <c:pt idx="27">
                  <c:v>4.68040983795</c:v>
                </c:pt>
                <c:pt idx="28">
                  <c:v>5.04936862637568</c:v>
                </c:pt>
                <c:pt idx="29">
                  <c:v>5.414363868049526</c:v>
                </c:pt>
                <c:pt idx="30">
                  <c:v>5.775711571907598</c:v>
                </c:pt>
                <c:pt idx="31">
                  <c:v>6.133684789550406</c:v>
                </c:pt>
                <c:pt idx="32">
                  <c:v>6.488521694880282</c:v>
                </c:pt>
                <c:pt idx="33">
                  <c:v>6.840431761495526</c:v>
                </c:pt>
                <c:pt idx="34">
                  <c:v>7.189600567009938</c:v>
                </c:pt>
                <c:pt idx="35">
                  <c:v>7.536193585846185</c:v>
                </c:pt>
                <c:pt idx="36">
                  <c:v>7.880359223376103</c:v>
                </c:pt>
                <c:pt idx="37">
                  <c:v>8.222231271955916</c:v>
                </c:pt>
                <c:pt idx="38">
                  <c:v>8.561930920147022</c:v>
                </c:pt>
                <c:pt idx="39">
                  <c:v>8.899568412170105</c:v>
                </c:pt>
                <c:pt idx="40">
                  <c:v>9.235244430393232</c:v>
                </c:pt>
                <c:pt idx="41">
                  <c:v>9.569051256198316</c:v>
                </c:pt>
                <c:pt idx="42">
                  <c:v>10.3959314896864</c:v>
                </c:pt>
                <c:pt idx="43">
                  <c:v>11.212801623941527</c:v>
                </c:pt>
                <c:pt idx="44">
                  <c:v>12.020624749397928</c:v>
                </c:pt>
                <c:pt idx="45">
                  <c:v>12.820212061669716</c:v>
                </c:pt>
                <c:pt idx="46">
                  <c:v>13.612255238519376</c:v>
                </c:pt>
                <c:pt idx="47">
                  <c:v>14.397350313184731</c:v>
                </c:pt>
                <c:pt idx="48">
                  <c:v>15.176015652938341</c:v>
                </c:pt>
                <c:pt idx="49">
                  <c:v>15.948705748353545</c:v>
                </c:pt>
                <c:pt idx="50">
                  <c:v>16.715821960200532</c:v>
                </c:pt>
                <c:pt idx="51">
                  <c:v>17.477721014540002</c:v>
                </c:pt>
              </c:numCache>
            </c:numRef>
          </c:xVal>
          <c:yVal>
            <c:numRef>
              <c:f>'Q''_GSI'!$E$148:$E$199</c:f>
              <c:numCache>
                <c:ptCount val="52"/>
                <c:pt idx="0">
                  <c:v>0.2402467914525843</c:v>
                </c:pt>
                <c:pt idx="1">
                  <c:v>0.4985106912292981</c:v>
                </c:pt>
                <c:pt idx="2">
                  <c:v>0.7043594836145143</c:v>
                </c:pt>
                <c:pt idx="3">
                  <c:v>0.8846235470018768</c:v>
                </c:pt>
                <c:pt idx="4">
                  <c:v>1.0481264583864434</c:v>
                </c:pt>
                <c:pt idx="5">
                  <c:v>1.1993807691307388</c:v>
                </c:pt>
                <c:pt idx="6">
                  <c:v>1.3411020123310953</c:v>
                </c:pt>
                <c:pt idx="7">
                  <c:v>1.475090520932086</c:v>
                </c:pt>
                <c:pt idx="8">
                  <c:v>1.6026199747985028</c:v>
                </c:pt>
                <c:pt idx="9">
                  <c:v>1.7246346404105273</c:v>
                </c:pt>
                <c:pt idx="10">
                  <c:v>1.8418598041172827</c:v>
                </c:pt>
                <c:pt idx="11">
                  <c:v>1.9548682432437057</c:v>
                </c:pt>
                <c:pt idx="12">
                  <c:v>2.1700032043160955</c:v>
                </c:pt>
                <c:pt idx="13">
                  <c:v>2.3728665233652437</c:v>
                </c:pt>
                <c:pt idx="14">
                  <c:v>2.56547383353789</c:v>
                </c:pt>
                <c:pt idx="15">
                  <c:v>2.749327044911855</c:v>
                </c:pt>
                <c:pt idx="16">
                  <c:v>2.9255836024925563</c:v>
                </c:pt>
                <c:pt idx="17">
                  <c:v>3.095159533609085</c:v>
                </c:pt>
                <c:pt idx="18">
                  <c:v>3.2587956047083027</c:v>
                </c:pt>
                <c:pt idx="19">
                  <c:v>3.4171016404614187</c:v>
                </c:pt>
                <c:pt idx="20">
                  <c:v>3.570587268726205</c:v>
                </c:pt>
                <c:pt idx="21">
                  <c:v>3.719683880943956</c:v>
                </c:pt>
                <c:pt idx="22">
                  <c:v>3.8647607118227847</c:v>
                </c:pt>
                <c:pt idx="23">
                  <c:v>4.006136866978597</c:v>
                </c:pt>
                <c:pt idx="24">
                  <c:v>4.144090488130374</c:v>
                </c:pt>
                <c:pt idx="25">
                  <c:v>4.27886585178007</c:v>
                </c:pt>
                <c:pt idx="26">
                  <c:v>4.410678947175379</c:v>
                </c:pt>
                <c:pt idx="27">
                  <c:v>4.66616662734801</c:v>
                </c:pt>
                <c:pt idx="28">
                  <c:v>4.911864320298402</c:v>
                </c:pt>
                <c:pt idx="29">
                  <c:v>5.148839903126924</c:v>
                </c:pt>
                <c:pt idx="30">
                  <c:v>5.377977627216758</c:v>
                </c:pt>
                <c:pt idx="31">
                  <c:v>5.6000198905951875</c:v>
                </c:pt>
                <c:pt idx="32">
                  <c:v>5.81559745930641</c:v>
                </c:pt>
                <c:pt idx="33">
                  <c:v>6.025251833832127</c:v>
                </c:pt>
                <c:pt idx="34">
                  <c:v>6.229452130933878</c:v>
                </c:pt>
                <c:pt idx="35">
                  <c:v>6.428608047024656</c:v>
                </c:pt>
                <c:pt idx="36">
                  <c:v>6.623079964987475</c:v>
                </c:pt>
                <c:pt idx="37">
                  <c:v>6.813186941106054</c:v>
                </c:pt>
                <c:pt idx="38">
                  <c:v>6.999213093588929</c:v>
                </c:pt>
                <c:pt idx="39">
                  <c:v>7.1814127685746785</c:v>
                </c:pt>
                <c:pt idx="40">
                  <c:v>7.360014758999475</c:v>
                </c:pt>
                <c:pt idx="41">
                  <c:v>7.535225781060411</c:v>
                </c:pt>
                <c:pt idx="42">
                  <c:v>7.9596077373359595</c:v>
                </c:pt>
                <c:pt idx="43">
                  <c:v>8.366433557268216</c:v>
                </c:pt>
                <c:pt idx="44">
                  <c:v>8.757728560237053</c:v>
                </c:pt>
                <c:pt idx="45">
                  <c:v>9.135154839606836</c:v>
                </c:pt>
                <c:pt idx="46">
                  <c:v>9.50009670297869</c:v>
                </c:pt>
                <c:pt idx="47">
                  <c:v>9.853721819692002</c:v>
                </c:pt>
                <c:pt idx="48">
                  <c:v>10.197026036758853</c:v>
                </c:pt>
                <c:pt idx="49">
                  <c:v>10.530866908239535</c:v>
                </c:pt>
                <c:pt idx="50">
                  <c:v>10.855989235684671</c:v>
                </c:pt>
                <c:pt idx="51">
                  <c:v>11.173044833985887</c:v>
                </c:pt>
              </c:numCache>
            </c:numRef>
          </c:yVal>
          <c:smooth val="1"/>
        </c:ser>
        <c:ser>
          <c:idx val="1"/>
          <c:order val="1"/>
          <c:tx>
            <c:v>condizioni post-rottura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'Q''_GSI'!$F$148:$F$199</c:f>
              <c:numCache>
                <c:ptCount val="52"/>
                <c:pt idx="0">
                  <c:v>0.00017694254139805077</c:v>
                </c:pt>
                <c:pt idx="1">
                  <c:v>0.09829484612275852</c:v>
                </c:pt>
                <c:pt idx="2">
                  <c:v>0.22472341307878319</c:v>
                </c:pt>
                <c:pt idx="3">
                  <c:v>0.34716474991428803</c:v>
                </c:pt>
                <c:pt idx="4">
                  <c:v>0.4666301617850199</c:v>
                </c:pt>
                <c:pt idx="5">
                  <c:v>0.5836970423798344</c:v>
                </c:pt>
                <c:pt idx="6">
                  <c:v>0.6987463673520653</c:v>
                </c:pt>
                <c:pt idx="7">
                  <c:v>0.8120510292552641</c:v>
                </c:pt>
                <c:pt idx="8">
                  <c:v>0.9238172947997123</c:v>
                </c:pt>
                <c:pt idx="9">
                  <c:v>1.0342071367519394</c:v>
                </c:pt>
                <c:pt idx="10">
                  <c:v>1.1433514368697324</c:v>
                </c:pt>
                <c:pt idx="11">
                  <c:v>1.2513583380503317</c:v>
                </c:pt>
                <c:pt idx="12">
                  <c:v>1.4643104989825677</c:v>
                </c:pt>
                <c:pt idx="13">
                  <c:v>1.6736474662981746</c:v>
                </c:pt>
                <c:pt idx="14">
                  <c:v>1.8798129188592063</c:v>
                </c:pt>
                <c:pt idx="15">
                  <c:v>2.0831559707499623</c:v>
                </c:pt>
                <c:pt idx="16">
                  <c:v>2.2839587399667285</c:v>
                </c:pt>
                <c:pt idx="17">
                  <c:v>2.4824540582605756</c:v>
                </c:pt>
                <c:pt idx="18">
                  <c:v>2.6788373967863244</c:v>
                </c:pt>
                <c:pt idx="19">
                  <c:v>2.873275205483122</c:v>
                </c:pt>
                <c:pt idx="20">
                  <c:v>3.0659109278380283</c:v>
                </c:pt>
                <c:pt idx="21">
                  <c:v>3.2568694526186417</c:v>
                </c:pt>
                <c:pt idx="22">
                  <c:v>3.446260481846777</c:v>
                </c:pt>
                <c:pt idx="23">
                  <c:v>3.63418112738983</c:v>
                </c:pt>
                <c:pt idx="24">
                  <c:v>3.8207179459650207</c:v>
                </c:pt>
                <c:pt idx="25">
                  <c:v>4.005948557159935</c:v>
                </c:pt>
                <c:pt idx="26">
                  <c:v>4.1899429464248765</c:v>
                </c:pt>
                <c:pt idx="27">
                  <c:v>4.554471010104907</c:v>
                </c:pt>
                <c:pt idx="28">
                  <c:v>4.914745277424097</c:v>
                </c:pt>
                <c:pt idx="29">
                  <c:v>5.2711382551578545</c:v>
                </c:pt>
                <c:pt idx="30">
                  <c:v>5.623967242771489</c:v>
                </c:pt>
                <c:pt idx="31">
                  <c:v>5.973505579707595</c:v>
                </c:pt>
                <c:pt idx="32">
                  <c:v>6.319991040287402</c:v>
                </c:pt>
                <c:pt idx="33">
                  <c:v>6.663632226872281</c:v>
                </c:pt>
                <c:pt idx="34">
                  <c:v>7.004613524266632</c:v>
                </c:pt>
                <c:pt idx="35">
                  <c:v>7.34309899828025</c:v>
                </c:pt>
                <c:pt idx="36">
                  <c:v>7.6792355051776315</c:v>
                </c:pt>
                <c:pt idx="37">
                  <c:v>8.013155201745777</c:v>
                </c:pt>
                <c:pt idx="38">
                  <c:v>8.3449775934785</c:v>
                </c:pt>
                <c:pt idx="39">
                  <c:v>8.674811222193311</c:v>
                </c:pt>
                <c:pt idx="40">
                  <c:v>9.002755068861372</c:v>
                </c:pt>
                <c:pt idx="41">
                  <c:v>9.328899729103759</c:v>
                </c:pt>
                <c:pt idx="42">
                  <c:v>10.136920016566458</c:v>
                </c:pt>
                <c:pt idx="43">
                  <c:v>10.935332531552028</c:v>
                </c:pt>
                <c:pt idx="44">
                  <c:v>11.725077070018843</c:v>
                </c:pt>
                <c:pt idx="45">
                  <c:v>12.506943275355372</c:v>
                </c:pt>
                <c:pt idx="46">
                  <c:v>13.281602980129364</c:v>
                </c:pt>
                <c:pt idx="47">
                  <c:v>14.049633979238488</c:v>
                </c:pt>
                <c:pt idx="48">
                  <c:v>14.811537882857717</c:v>
                </c:pt>
                <c:pt idx="49">
                  <c:v>15.567753774544652</c:v>
                </c:pt>
                <c:pt idx="50">
                  <c:v>16.318668831194685</c:v>
                </c:pt>
                <c:pt idx="51">
                  <c:v>17.064626699889985</c:v>
                </c:pt>
              </c:numCache>
            </c:numRef>
          </c:xVal>
          <c:yVal>
            <c:numRef>
              <c:f>'Q''_GSI'!$G$148:$G$199</c:f>
              <c:numCache>
                <c:ptCount val="52"/>
                <c:pt idx="0">
                  <c:v>0.18072551798571396</c:v>
                </c:pt>
                <c:pt idx="1">
                  <c:v>0.376552468275116</c:v>
                </c:pt>
                <c:pt idx="2">
                  <c:v>0.5834648441658514</c:v>
                </c:pt>
                <c:pt idx="3">
                  <c:v>0.7600456701543022</c:v>
                </c:pt>
                <c:pt idx="4">
                  <c:v>0.9181783341815832</c:v>
                </c:pt>
                <c:pt idx="5">
                  <c:v>1.063327569376747</c:v>
                </c:pt>
                <c:pt idx="6">
                  <c:v>1.1986037228847273</c:v>
                </c:pt>
                <c:pt idx="7">
                  <c:v>1.3259978618153192</c:v>
                </c:pt>
                <c:pt idx="8">
                  <c:v>1.4468847579019324</c:v>
                </c:pt>
                <c:pt idx="9">
                  <c:v>1.562265468475534</c:v>
                </c:pt>
                <c:pt idx="10">
                  <c:v>1.6728982993940644</c:v>
                </c:pt>
                <c:pt idx="11">
                  <c:v>1.7793755036340893</c:v>
                </c:pt>
                <c:pt idx="12">
                  <c:v>1.981671942700098</c:v>
                </c:pt>
                <c:pt idx="13">
                  <c:v>2.172023671571159</c:v>
                </c:pt>
                <c:pt idx="14">
                  <c:v>2.352452531289199</c:v>
                </c:pt>
                <c:pt idx="15">
                  <c:v>2.5244517956751076</c:v>
                </c:pt>
                <c:pt idx="16">
                  <c:v>2.689164236435588</c:v>
                </c:pt>
                <c:pt idx="17">
                  <c:v>2.8474891319815265</c:v>
                </c:pt>
                <c:pt idx="18">
                  <c:v>3.000150259833745</c:v>
                </c:pt>
                <c:pt idx="19">
                  <c:v>3.147741061113212</c:v>
                </c:pt>
                <c:pt idx="20">
                  <c:v>3.290755750762357</c:v>
                </c:pt>
                <c:pt idx="21">
                  <c:v>3.4296114052835627</c:v>
                </c:pt>
                <c:pt idx="22">
                  <c:v>3.5646640517246913</c:v>
                </c:pt>
                <c:pt idx="23">
                  <c:v>3.6962206476885546</c:v>
                </c:pt>
                <c:pt idx="24">
                  <c:v>3.8245481736685436</c:v>
                </c:pt>
                <c:pt idx="25">
                  <c:v>3.949880650169429</c:v>
                </c:pt>
                <c:pt idx="26">
                  <c:v>4.072424633920794</c:v>
                </c:pt>
                <c:pt idx="27">
                  <c:v>4.30986134413974</c:v>
                </c:pt>
                <c:pt idx="28">
                  <c:v>4.538107303389807</c:v>
                </c:pt>
                <c:pt idx="29">
                  <c:v>4.758177442148951</c:v>
                </c:pt>
                <c:pt idx="30">
                  <c:v>4.9709103085759345</c:v>
                </c:pt>
                <c:pt idx="31">
                  <c:v>5.177008564658943</c:v>
                </c:pt>
                <c:pt idx="32">
                  <c:v>5.377068192204521</c:v>
                </c:pt>
                <c:pt idx="33">
                  <c:v>5.571600048099476</c:v>
                </c:pt>
                <c:pt idx="34">
                  <c:v>5.76104609402517</c:v>
                </c:pt>
                <c:pt idx="35">
                  <c:v>5.945791831719245</c:v>
                </c:pt>
                <c:pt idx="36">
                  <c:v>6.1261759788663825</c:v>
                </c:pt>
                <c:pt idx="37">
                  <c:v>6.3024981017473225</c:v>
                </c:pt>
                <c:pt idx="38">
                  <c:v>6.475024710366336</c:v>
                </c:pt>
                <c:pt idx="39">
                  <c:v>6.6439941797842765</c:v>
                </c:pt>
                <c:pt idx="40">
                  <c:v>6.809620763594789</c:v>
                </c:pt>
                <c:pt idx="41">
                  <c:v>6.9720978968920475</c:v>
                </c:pt>
                <c:pt idx="42">
                  <c:v>7.365624301155639</c:v>
                </c:pt>
                <c:pt idx="43">
                  <c:v>7.742865337225709</c:v>
                </c:pt>
                <c:pt idx="44">
                  <c:v>8.105710328872458</c:v>
                </c:pt>
                <c:pt idx="45">
                  <c:v>8.455707907933455</c:v>
                </c:pt>
                <c:pt idx="46">
                  <c:v>8.794146546611929</c:v>
                </c:pt>
                <c:pt idx="47">
                  <c:v>9.122112092660302</c:v>
                </c:pt>
                <c:pt idx="48">
                  <c:v>9.440529873480196</c:v>
                </c:pt>
                <c:pt idx="49">
                  <c:v>9.75019615393715</c:v>
                </c:pt>
                <c:pt idx="50">
                  <c:v>10.051802069763578</c:v>
                </c:pt>
                <c:pt idx="51">
                  <c:v>10.345952129477908</c:v>
                </c:pt>
              </c:numCache>
            </c:numRef>
          </c:yVal>
          <c:smooth val="1"/>
        </c:ser>
        <c:axId val="64156296"/>
        <c:axId val="40535753"/>
      </c:scatterChart>
      <c:valAx>
        <c:axId val="64156296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40535753"/>
        <c:crossesAt val="0"/>
        <c:crossBetween val="midCat"/>
        <c:dispUnits/>
        <c:majorUnit val="2"/>
        <c:minorUnit val="0.4"/>
      </c:valAx>
      <c:valAx>
        <c:axId val="40535753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64156296"/>
        <c:crossesAt val="0"/>
        <c:crossBetween val="midCat"/>
        <c:dispUnits/>
        <c:majorUnit val="2"/>
        <c:minorUnit val="0.4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425"/>
          <c:y val="0.75"/>
          <c:w val="0.23575"/>
          <c:h val="0.08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775"/>
          <c:y val="0.02275"/>
          <c:w val="0.7395"/>
          <c:h val="0.921"/>
        </c:manualLayout>
      </c:layout>
      <c:scatterChart>
        <c:scatterStyle val="lineMarker"/>
        <c:varyColors val="0"/>
        <c:ser>
          <c:idx val="0"/>
          <c:order val="0"/>
          <c:tx>
            <c:v>Hoek e Brown -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'Q''_GSI'!$B$149:$B$199</c:f>
              <c:numCache>
                <c:ptCount val="51"/>
                <c:pt idx="0">
                  <c:v>1.9995218076668821</c:v>
                </c:pt>
                <c:pt idx="1">
                  <c:v>2.622963717345705</c:v>
                </c:pt>
                <c:pt idx="2">
                  <c:v>3.1449043297933765</c:v>
                </c:pt>
                <c:pt idx="3">
                  <c:v>3.605972558448144</c:v>
                </c:pt>
                <c:pt idx="4">
                  <c:v>4.02524468099083</c:v>
                </c:pt>
                <c:pt idx="5">
                  <c:v>4.413506451411507</c:v>
                </c:pt>
                <c:pt idx="6">
                  <c:v>4.777565380034459</c:v>
                </c:pt>
                <c:pt idx="7">
                  <c:v>5.122046191336266</c:v>
                </c:pt>
                <c:pt idx="8">
                  <c:v>5.450261544611565</c:v>
                </c:pt>
                <c:pt idx="9">
                  <c:v>5.764681156571263</c:v>
                </c:pt>
                <c:pt idx="10">
                  <c:v>6.067204944288178</c:v>
                </c:pt>
                <c:pt idx="11">
                  <c:v>6.642269365755723</c:v>
                </c:pt>
                <c:pt idx="12">
                  <c:v>7.1843686301979535</c:v>
                </c:pt>
                <c:pt idx="13">
                  <c:v>7.699634737116758</c:v>
                </c:pt>
                <c:pt idx="14">
                  <c:v>8.192501127857096</c:v>
                </c:pt>
                <c:pt idx="15">
                  <c:v>8.666297045394154</c:v>
                </c:pt>
                <c:pt idx="16">
                  <c:v>9.123598417701368</c:v>
                </c:pt>
                <c:pt idx="17">
                  <c:v>9.566447127606773</c:v>
                </c:pt>
                <c:pt idx="18">
                  <c:v>9.996494423751434</c:v>
                </c:pt>
                <c:pt idx="19">
                  <c:v>10.415098288226318</c:v>
                </c:pt>
                <c:pt idx="20">
                  <c:v>10.823391640735135</c:v>
                </c:pt>
                <c:pt idx="21">
                  <c:v>11.222331397781932</c:v>
                </c:pt>
                <c:pt idx="22">
                  <c:v>11.612734574514949</c:v>
                </c:pt>
                <c:pt idx="23">
                  <c:v>11.995305383171935</c:v>
                </c:pt>
                <c:pt idx="24">
                  <c:v>12.370655930287105</c:v>
                </c:pt>
                <c:pt idx="25">
                  <c:v>12.739322269889854</c:v>
                </c:pt>
                <c:pt idx="26">
                  <c:v>13.458439444610192</c:v>
                </c:pt>
                <c:pt idx="27">
                  <c:v>14.155844358303284</c:v>
                </c:pt>
                <c:pt idx="28">
                  <c:v>14.834095498702185</c:v>
                </c:pt>
                <c:pt idx="29">
                  <c:v>15.495283734710647</c:v>
                </c:pt>
                <c:pt idx="30">
                  <c:v>16.141144020815666</c:v>
                </c:pt>
                <c:pt idx="31">
                  <c:v>16.77313494871574</c:v>
                </c:pt>
                <c:pt idx="32">
                  <c:v>17.392496786414533</c:v>
                </c:pt>
                <c:pt idx="33">
                  <c:v>18.000294717284515</c:v>
                </c:pt>
                <c:pt idx="34">
                  <c:v>18.59745164774886</c:v>
                </c:pt>
                <c:pt idx="35">
                  <c:v>19.184773505014093</c:v>
                </c:pt>
                <c:pt idx="36">
                  <c:v>19.762969025676725</c:v>
                </c:pt>
                <c:pt idx="37">
                  <c:v>20.332665434821806</c:v>
                </c:pt>
                <c:pt idx="38">
                  <c:v>20.89442101334487</c:v>
                </c:pt>
                <c:pt idx="39">
                  <c:v>21.448735276914043</c:v>
                </c:pt>
                <c:pt idx="40">
                  <c:v>21.996057299199254</c:v>
                </c:pt>
                <c:pt idx="41">
                  <c:v>23.336340371167015</c:v>
                </c:pt>
                <c:pt idx="42">
                  <c:v>24.640746041910216</c:v>
                </c:pt>
                <c:pt idx="43">
                  <c:v>25.913583067776003</c:v>
                </c:pt>
                <c:pt idx="44">
                  <c:v>27.15835868920885</c:v>
                </c:pt>
                <c:pt idx="45">
                  <c:v>28.377973266323643</c:v>
                </c:pt>
                <c:pt idx="46">
                  <c:v>29.57485802286306</c:v>
                </c:pt>
                <c:pt idx="47">
                  <c:v>30.751074999687052</c:v>
                </c:pt>
                <c:pt idx="48">
                  <c:v>31.908391171114673</c:v>
                </c:pt>
                <c:pt idx="49">
                  <c:v>33.04833444946742</c:v>
                </c:pt>
                <c:pt idx="50">
                  <c:v>34.1722367125074</c:v>
                </c:pt>
              </c:numCache>
            </c:numRef>
          </c:yVal>
          <c:smooth val="1"/>
        </c:ser>
        <c:ser>
          <c:idx val="1"/>
          <c:order val="1"/>
          <c:tx>
            <c:v>Hoek e Brown - residuo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'Q''_GSI'!$A$149:$A$199</c:f>
              <c:numCache>
                <c:ptCount val="5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0.6</c:v>
                </c:pt>
                <c:pt idx="12">
                  <c:v>0.7</c:v>
                </c:pt>
                <c:pt idx="13">
                  <c:v>0.7999999999999999</c:v>
                </c:pt>
                <c:pt idx="14">
                  <c:v>0.8999999999999999</c:v>
                </c:pt>
                <c:pt idx="15">
                  <c:v>0.9999999999999999</c:v>
                </c:pt>
                <c:pt idx="16">
                  <c:v>1.0999999999999999</c:v>
                </c:pt>
                <c:pt idx="17">
                  <c:v>1.2</c:v>
                </c:pt>
                <c:pt idx="18">
                  <c:v>1.3</c:v>
                </c:pt>
                <c:pt idx="19">
                  <c:v>1.4000000000000001</c:v>
                </c:pt>
                <c:pt idx="20">
                  <c:v>1.5000000000000002</c:v>
                </c:pt>
                <c:pt idx="21">
                  <c:v>1.6000000000000003</c:v>
                </c:pt>
                <c:pt idx="22">
                  <c:v>1.7000000000000004</c:v>
                </c:pt>
                <c:pt idx="23">
                  <c:v>1.8000000000000005</c:v>
                </c:pt>
                <c:pt idx="24">
                  <c:v>1.9000000000000006</c:v>
                </c:pt>
                <c:pt idx="25">
                  <c:v>2.0000000000000004</c:v>
                </c:pt>
                <c:pt idx="26">
                  <c:v>2.2000000000000006</c:v>
                </c:pt>
                <c:pt idx="27">
                  <c:v>2.400000000000001</c:v>
                </c:pt>
                <c:pt idx="28">
                  <c:v>2.600000000000001</c:v>
                </c:pt>
                <c:pt idx="29">
                  <c:v>2.800000000000001</c:v>
                </c:pt>
                <c:pt idx="30">
                  <c:v>3.0000000000000013</c:v>
                </c:pt>
                <c:pt idx="31">
                  <c:v>3.2000000000000015</c:v>
                </c:pt>
                <c:pt idx="32">
                  <c:v>3.4000000000000017</c:v>
                </c:pt>
                <c:pt idx="33">
                  <c:v>3.600000000000002</c:v>
                </c:pt>
                <c:pt idx="34">
                  <c:v>3.800000000000002</c:v>
                </c:pt>
                <c:pt idx="35">
                  <c:v>4.000000000000002</c:v>
                </c:pt>
                <c:pt idx="36">
                  <c:v>4.200000000000002</c:v>
                </c:pt>
                <c:pt idx="37">
                  <c:v>4.400000000000002</c:v>
                </c:pt>
                <c:pt idx="38">
                  <c:v>4.600000000000002</c:v>
                </c:pt>
                <c:pt idx="39">
                  <c:v>4.8000000000000025</c:v>
                </c:pt>
                <c:pt idx="40">
                  <c:v>5.000000000000003</c:v>
                </c:pt>
                <c:pt idx="41">
                  <c:v>5.500000000000003</c:v>
                </c:pt>
                <c:pt idx="42">
                  <c:v>6.000000000000003</c:v>
                </c:pt>
                <c:pt idx="43">
                  <c:v>6.500000000000003</c:v>
                </c:pt>
                <c:pt idx="44">
                  <c:v>7.000000000000003</c:v>
                </c:pt>
                <c:pt idx="45">
                  <c:v>7.500000000000003</c:v>
                </c:pt>
                <c:pt idx="46">
                  <c:v>8.000000000000004</c:v>
                </c:pt>
                <c:pt idx="47">
                  <c:v>8.500000000000004</c:v>
                </c:pt>
                <c:pt idx="48">
                  <c:v>9.000000000000004</c:v>
                </c:pt>
                <c:pt idx="49">
                  <c:v>9.500000000000004</c:v>
                </c:pt>
                <c:pt idx="50">
                  <c:v>10.000000000000004</c:v>
                </c:pt>
              </c:numCache>
            </c:numRef>
          </c:xVal>
          <c:yVal>
            <c:numRef>
              <c:f>'Q''_GSI'!$C$149:$C$199</c:f>
              <c:numCache>
                <c:ptCount val="51"/>
                <c:pt idx="0">
                  <c:v>1.5408095552561474</c:v>
                </c:pt>
                <c:pt idx="1">
                  <c:v>2.173124136134597</c:v>
                </c:pt>
                <c:pt idx="2">
                  <c:v>2.684348433755236</c:v>
                </c:pt>
                <c:pt idx="3">
                  <c:v>3.129204847051003</c:v>
                </c:pt>
                <c:pt idx="4">
                  <c:v>3.530463357762004</c:v>
                </c:pt>
                <c:pt idx="5">
                  <c:v>3.900222722448659</c:v>
                </c:pt>
                <c:pt idx="6">
                  <c:v>4.245830533802021</c:v>
                </c:pt>
                <c:pt idx="7">
                  <c:v>4.572148430199959</c:v>
                </c:pt>
                <c:pt idx="8">
                  <c:v>4.882592392223629</c:v>
                </c:pt>
                <c:pt idx="9">
                  <c:v>5.1796720836550305</c:v>
                </c:pt>
                <c:pt idx="10">
                  <c:v>5.4652959795076015</c:v>
                </c:pt>
                <c:pt idx="11">
                  <c:v>6.007843978105541</c:v>
                </c:pt>
                <c:pt idx="12">
                  <c:v>6.519022197053845</c:v>
                </c:pt>
                <c:pt idx="13">
                  <c:v>7.004805234949957</c:v>
                </c:pt>
                <c:pt idx="14">
                  <c:v>7.469476140057598</c:v>
                </c:pt>
                <c:pt idx="15">
                  <c:v>7.916230296225296</c:v>
                </c:pt>
                <c:pt idx="16">
                  <c:v>8.347527337407918</c:v>
                </c:pt>
                <c:pt idx="17">
                  <c:v>8.765308837892988</c:v>
                </c:pt>
                <c:pt idx="18">
                  <c:v>9.171139529084087</c:v>
                </c:pt>
                <c:pt idx="19">
                  <c:v>9.566302533546017</c:v>
                </c:pt>
                <c:pt idx="20">
                  <c:v>9.95186569933424</c:v>
                </c:pt>
                <c:pt idx="21">
                  <c:v>10.328729086140308</c:v>
                </c:pt>
                <c:pt idx="22">
                  <c:v>10.697659765937031</c:v>
                </c:pt>
                <c:pt idx="23">
                  <c:v>11.059317851468409</c:v>
                </c:pt>
                <c:pt idx="24">
                  <c:v>11.414276314046361</c:v>
                </c:pt>
                <c:pt idx="25">
                  <c:v>11.763036312185688</c:v>
                </c:pt>
                <c:pt idx="26">
                  <c:v>12.443676154695918</c:v>
                </c:pt>
                <c:pt idx="27">
                  <c:v>13.104210064161933</c:v>
                </c:pt>
                <c:pt idx="28">
                  <c:v>13.747020223175712</c:v>
                </c:pt>
                <c:pt idx="29">
                  <c:v>14.374050785403432</c:v>
                </c:pt>
                <c:pt idx="30">
                  <c:v>14.98691314196535</c:v>
                </c:pt>
                <c:pt idx="31">
                  <c:v>15.586960711121542</c:v>
                </c:pt>
                <c:pt idx="32">
                  <c:v>16.175343393461677</c:v>
                </c:pt>
                <c:pt idx="33">
                  <c:v>16.753048070778597</c:v>
                </c:pt>
                <c:pt idx="34">
                  <c:v>17.320929288458053</c:v>
                </c:pt>
                <c:pt idx="35">
                  <c:v>17.879732883294658</c:v>
                </c:pt>
                <c:pt idx="36">
                  <c:v>18.430114444407327</c:v>
                </c:pt>
                <c:pt idx="37">
                  <c:v>18.972653925319538</c:v>
                </c:pt>
                <c:pt idx="38">
                  <c:v>19.50786734528092</c:v>
                </c:pt>
                <c:pt idx="39">
                  <c:v>20.03621625900975</c:v>
                </c:pt>
                <c:pt idx="40">
                  <c:v>20.558115494263244</c:v>
                </c:pt>
                <c:pt idx="41">
                  <c:v>21.837018606135683</c:v>
                </c:pt>
                <c:pt idx="42">
                  <c:v>23.082834902898455</c:v>
                </c:pt>
                <c:pt idx="43">
                  <c:v>24.299540385131774</c:v>
                </c:pt>
                <c:pt idx="44">
                  <c:v>25.490370314500684</c:v>
                </c:pt>
                <c:pt idx="45">
                  <c:v>26.657999413624374</c:v>
                </c:pt>
                <c:pt idx="46">
                  <c:v>27.804669294868273</c:v>
                </c:pt>
                <c:pt idx="47">
                  <c:v>28.93228086914856</c:v>
                </c:pt>
                <c:pt idx="48">
                  <c:v>30.042462830890457</c:v>
                </c:pt>
                <c:pt idx="49">
                  <c:v>31.136623383769813</c:v>
                </c:pt>
                <c:pt idx="50">
                  <c:v>32.21598996542748</c:v>
                </c:pt>
              </c:numCache>
            </c:numRef>
          </c:yVal>
          <c:smooth val="1"/>
        </c:ser>
        <c:axId val="29277458"/>
        <c:axId val="62170531"/>
      </c:scatterChart>
      <c:valAx>
        <c:axId val="29277458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62170531"/>
        <c:crossesAt val="0"/>
        <c:crossBetween val="midCat"/>
        <c:dispUnits/>
        <c:majorUnit val="1"/>
        <c:minorUnit val="0.5"/>
      </c:valAx>
      <c:valAx>
        <c:axId val="62170531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-25000"/>
                  <a:t>1</a:t>
                </a:r>
                <a:r>
                  <a:rPr lang="en-US" cap="none" sz="1000" b="0" i="0" u="none" baseline="0"/>
                  <a:t> 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[MPa]</a:t>
                </a:r>
              </a:p>
            </c:rich>
          </c:tx>
          <c:layout>
            <c:manualLayout>
              <c:xMode val="factor"/>
              <c:yMode val="factor"/>
              <c:x val="0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crossAx val="29277458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5"/>
          <c:y val="0.0255"/>
          <c:w val="0.85875"/>
          <c:h val="0.912"/>
        </c:manualLayout>
      </c:layout>
      <c:scatterChart>
        <c:scatterStyle val="smooth"/>
        <c:varyColors val="0"/>
        <c:ser>
          <c:idx val="0"/>
          <c:order val="0"/>
          <c:tx>
            <c:v>condizioni di picco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'Q''_GSI'!$D$207:$D$253</c:f>
              <c:numCache>
                <c:ptCount val="47"/>
                <c:pt idx="0">
                  <c:v>0.0004725536502365735</c:v>
                </c:pt>
                <c:pt idx="1">
                  <c:v>0.13315317506341307</c:v>
                </c:pt>
                <c:pt idx="2">
                  <c:v>0.15883629415392253</c:v>
                </c:pt>
                <c:pt idx="3">
                  <c:v>0.18434636958826223</c:v>
                </c:pt>
                <c:pt idx="4">
                  <c:v>0.20969580549596012</c:v>
                </c:pt>
                <c:pt idx="5">
                  <c:v>0.23489515062229205</c:v>
                </c:pt>
                <c:pt idx="6">
                  <c:v>0.25995350765897784</c:v>
                </c:pt>
                <c:pt idx="7">
                  <c:v>0.28487882716488655</c:v>
                </c:pt>
                <c:pt idx="8">
                  <c:v>0.30967812471376677</c:v>
                </c:pt>
                <c:pt idx="9">
                  <c:v>0.3343576452007988</c:v>
                </c:pt>
                <c:pt idx="10">
                  <c:v>0.358922989720337</c:v>
                </c:pt>
                <c:pt idx="11">
                  <c:v>0.3833792152732891</c:v>
                </c:pt>
                <c:pt idx="12">
                  <c:v>0.4077309143278931</c:v>
                </c:pt>
                <c:pt idx="13">
                  <c:v>0.43198227916237797</c:v>
                </c:pt>
                <c:pt idx="14">
                  <c:v>0.45613715452286696</c:v>
                </c:pt>
                <c:pt idx="15">
                  <c:v>0.4801990811782919</c:v>
                </c:pt>
                <c:pt idx="16">
                  <c:v>0.5041713322909183</c:v>
                </c:pt>
                <c:pt idx="17">
                  <c:v>0.5280569440500591</c:v>
                </c:pt>
                <c:pt idx="18">
                  <c:v>0.5518587416761864</c:v>
                </c:pt>
                <c:pt idx="19">
                  <c:v>0.5755793616528728</c:v>
                </c:pt>
                <c:pt idx="20">
                  <c:v>0.5992212708580864</c:v>
                </c:pt>
                <c:pt idx="21">
                  <c:v>0.6227867831262415</c:v>
                </c:pt>
                <c:pt idx="22">
                  <c:v>0.669697191672243</c:v>
                </c:pt>
                <c:pt idx="23">
                  <c:v>0.7163265420571954</c:v>
                </c:pt>
                <c:pt idx="24">
                  <c:v>0.7626890980648133</c:v>
                </c:pt>
                <c:pt idx="25">
                  <c:v>0.8087976973593967</c:v>
                </c:pt>
                <c:pt idx="26">
                  <c:v>0.8546639625585355</c:v>
                </c:pt>
                <c:pt idx="27">
                  <c:v>0.9002984717040374</c:v>
                </c:pt>
                <c:pt idx="28">
                  <c:v>0.9457108975833739</c:v>
                </c:pt>
                <c:pt idx="29">
                  <c:v>0.9909101228053874</c:v>
                </c:pt>
                <c:pt idx="30">
                  <c:v>1.0359043357580795</c:v>
                </c:pt>
                <c:pt idx="31">
                  <c:v>1.0807011113152512</c:v>
                </c:pt>
                <c:pt idx="32">
                  <c:v>1.1253074792476858</c:v>
                </c:pt>
                <c:pt idx="33">
                  <c:v>1.1697299826263117</c:v>
                </c:pt>
                <c:pt idx="34">
                  <c:v>1.2139747280075108</c:v>
                </c:pt>
                <c:pt idx="35">
                  <c:v>1.2580474288161831</c:v>
                </c:pt>
                <c:pt idx="36">
                  <c:v>1.3019534430564577</c:v>
                </c:pt>
                <c:pt idx="37">
                  <c:v>1.411021554530746</c:v>
                </c:pt>
                <c:pt idx="38">
                  <c:v>1.519149700689502</c:v>
                </c:pt>
                <c:pt idx="39">
                  <c:v>1.6263997732738975</c:v>
                </c:pt>
                <c:pt idx="40">
                  <c:v>1.7328261287999873</c:v>
                </c:pt>
                <c:pt idx="41">
                  <c:v>1.8384769071826828</c:v>
                </c:pt>
                <c:pt idx="42">
                  <c:v>1.943395055572429</c:v>
                </c:pt>
                <c:pt idx="43">
                  <c:v>2.0476191362172496</c:v>
                </c:pt>
                <c:pt idx="44">
                  <c:v>2.1511839729825892</c:v>
                </c:pt>
                <c:pt idx="45">
                  <c:v>2.2541211752609787</c:v>
                </c:pt>
                <c:pt idx="46">
                  <c:v>2.356459567280701</c:v>
                </c:pt>
              </c:numCache>
            </c:numRef>
          </c:xVal>
          <c:yVal>
            <c:numRef>
              <c:f>'Q''_GSI'!$E$207:$E$253</c:f>
              <c:numCache>
                <c:ptCount val="47"/>
                <c:pt idx="0">
                  <c:v>0.2402467914525843</c:v>
                </c:pt>
                <c:pt idx="1">
                  <c:v>0.4985106912292981</c:v>
                </c:pt>
                <c:pt idx="2">
                  <c:v>0.5424583524476954</c:v>
                </c:pt>
                <c:pt idx="3">
                  <c:v>0.5848430815427901</c:v>
                </c:pt>
                <c:pt idx="4">
                  <c:v>0.6258572769403505</c:v>
                </c:pt>
                <c:pt idx="5">
                  <c:v>0.6656544048040555</c:v>
                </c:pt>
                <c:pt idx="6">
                  <c:v>0.7043594836145143</c:v>
                </c:pt>
                <c:pt idx="7">
                  <c:v>0.7420761496878936</c:v>
                </c:pt>
                <c:pt idx="8">
                  <c:v>0.7788915851683158</c:v>
                </c:pt>
                <c:pt idx="9">
                  <c:v>0.8148800555720371</c:v>
                </c:pt>
                <c:pt idx="10">
                  <c:v>0.8501055121390261</c:v>
                </c:pt>
                <c:pt idx="11">
                  <c:v>0.8846235470018768</c:v>
                </c:pt>
                <c:pt idx="12">
                  <c:v>0.9184828893161159</c:v>
                </c:pt>
                <c:pt idx="13">
                  <c:v>0.9517265687232236</c:v>
                </c:pt>
                <c:pt idx="14">
                  <c:v>0.9843928331181248</c:v>
                </c:pt>
                <c:pt idx="15">
                  <c:v>1.0165158818778945</c:v>
                </c:pt>
                <c:pt idx="16">
                  <c:v>1.0481264583864434</c:v>
                </c:pt>
                <c:pt idx="17">
                  <c:v>1.0792523338172408</c:v>
                </c:pt>
                <c:pt idx="18">
                  <c:v>1.109918705841891</c:v>
                </c:pt>
                <c:pt idx="19">
                  <c:v>1.140148530037372</c:v>
                </c:pt>
                <c:pt idx="20">
                  <c:v>1.1699627975091083</c:v>
                </c:pt>
                <c:pt idx="21">
                  <c:v>1.1993807691307388</c:v>
                </c:pt>
                <c:pt idx="22">
                  <c:v>1.2570973818910973</c:v>
                </c:pt>
                <c:pt idx="23">
                  <c:v>1.3134247263467436</c:v>
                </c:pt>
                <c:pt idx="24">
                  <c:v>1.3684716033714737</c:v>
                </c:pt>
                <c:pt idx="25">
                  <c:v>1.4223325776096982</c:v>
                </c:pt>
                <c:pt idx="26">
                  <c:v>1.475090520932086</c:v>
                </c:pt>
                <c:pt idx="27">
                  <c:v>1.5268185918143675</c:v>
                </c:pt>
                <c:pt idx="28">
                  <c:v>1.5775817976982152</c:v>
                </c:pt>
                <c:pt idx="29">
                  <c:v>1.6274382438650727</c:v>
                </c:pt>
                <c:pt idx="30">
                  <c:v>1.6764401431072082</c:v>
                </c:pt>
                <c:pt idx="31">
                  <c:v>1.7246346404105273</c:v>
                </c:pt>
                <c:pt idx="32">
                  <c:v>1.772064492827922</c:v>
                </c:pt>
                <c:pt idx="33">
                  <c:v>1.8187686347368355</c:v>
                </c:pt>
                <c:pt idx="34">
                  <c:v>1.8647826514600294</c:v>
                </c:pt>
                <c:pt idx="35">
                  <c:v>1.91013917894143</c:v>
                </c:pt>
                <c:pt idx="36">
                  <c:v>1.9548682432437057</c:v>
                </c:pt>
                <c:pt idx="37">
                  <c:v>2.0641225338249387</c:v>
                </c:pt>
                <c:pt idx="38">
                  <c:v>2.1700032043160955</c:v>
                </c:pt>
                <c:pt idx="39">
                  <c:v>2.272828164141654</c:v>
                </c:pt>
                <c:pt idx="40">
                  <c:v>2.3728665233652437</c:v>
                </c:pt>
                <c:pt idx="41">
                  <c:v>2.470348677974123</c:v>
                </c:pt>
                <c:pt idx="42">
                  <c:v>2.56547383353789</c:v>
                </c:pt>
                <c:pt idx="43">
                  <c:v>2.658415725996731</c:v>
                </c:pt>
                <c:pt idx="44">
                  <c:v>2.749327044911855</c:v>
                </c:pt>
                <c:pt idx="45">
                  <c:v>2.838342904350776</c:v>
                </c:pt>
                <c:pt idx="46">
                  <c:v>2.9255836024925563</c:v>
                </c:pt>
              </c:numCache>
            </c:numRef>
          </c:yVal>
          <c:smooth val="1"/>
        </c:ser>
        <c:ser>
          <c:idx val="1"/>
          <c:order val="1"/>
          <c:tx>
            <c:v>condizioni post-rottura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'Q''_GSI'!$F$207:$F$253</c:f>
              <c:numCache>
                <c:ptCount val="47"/>
                <c:pt idx="0">
                  <c:v>0.00017694254139805077</c:v>
                </c:pt>
                <c:pt idx="1">
                  <c:v>0.09829484612275852</c:v>
                </c:pt>
                <c:pt idx="2">
                  <c:v>0.12397767097888934</c:v>
                </c:pt>
                <c:pt idx="3">
                  <c:v>0.1494439961153119</c:v>
                </c:pt>
                <c:pt idx="4">
                  <c:v>0.1747134969623907</c:v>
                </c:pt>
                <c:pt idx="5">
                  <c:v>0.19980218915533843</c:v>
                </c:pt>
                <c:pt idx="6">
                  <c:v>0.22472341307878319</c:v>
                </c:pt>
                <c:pt idx="7">
                  <c:v>0.24948848555274905</c:v>
                </c:pt>
                <c:pt idx="8">
                  <c:v>0.27410715039542877</c:v>
                </c:pt>
                <c:pt idx="9">
                  <c:v>0.29858790104218313</c:v>
                </c:pt>
                <c:pt idx="10">
                  <c:v>0.3229382183104228</c:v>
                </c:pt>
                <c:pt idx="11">
                  <c:v>0.34716474991428803</c:v>
                </c:pt>
                <c:pt idx="12">
                  <c:v>0.37127344881461344</c:v>
                </c:pt>
                <c:pt idx="13">
                  <c:v>0.39526968174834654</c:v>
                </c:pt>
                <c:pt idx="14">
                  <c:v>0.4191583156875909</c:v>
                </c:pt>
                <c:pt idx="15">
                  <c:v>0.4429437876557618</c:v>
                </c:pt>
                <c:pt idx="16">
                  <c:v>0.4666301617850199</c:v>
                </c:pt>
                <c:pt idx="17">
                  <c:v>0.490221176448421</c:v>
                </c:pt>
                <c:pt idx="18">
                  <c:v>0.5137202835692467</c:v>
                </c:pt>
                <c:pt idx="19">
                  <c:v>0.5371306816915951</c:v>
                </c:pt>
                <c:pt idx="20">
                  <c:v>0.5604553440222608</c:v>
                </c:pt>
                <c:pt idx="21">
                  <c:v>0.5836970423798344</c:v>
                </c:pt>
                <c:pt idx="22">
                  <c:v>0.6299417482579674</c:v>
                </c:pt>
                <c:pt idx="23">
                  <c:v>0.6758836625299198</c:v>
                </c:pt>
                <c:pt idx="24">
                  <c:v>0.7215394916795876</c:v>
                </c:pt>
                <c:pt idx="25">
                  <c:v>0.7669241472337365</c:v>
                </c:pt>
                <c:pt idx="26">
                  <c:v>0.8120510292552641</c:v>
                </c:pt>
                <c:pt idx="27">
                  <c:v>0.8569322519273379</c:v>
                </c:pt>
                <c:pt idx="28">
                  <c:v>0.9015788254901498</c:v>
                </c:pt>
                <c:pt idx="29">
                  <c:v>0.9460008047370936</c:v>
                </c:pt>
                <c:pt idx="30">
                  <c:v>0.9902074115151</c:v>
                </c:pt>
                <c:pt idx="31">
                  <c:v>1.0342071367519394</c:v>
                </c:pt>
                <c:pt idx="32">
                  <c:v>1.078007826170066</c:v>
                </c:pt>
                <c:pt idx="33">
                  <c:v>1.1216167528630416</c:v>
                </c:pt>
                <c:pt idx="34">
                  <c:v>1.1650406791897536</c:v>
                </c:pt>
                <c:pt idx="35">
                  <c:v>1.2082859099060759</c:v>
                </c:pt>
                <c:pt idx="36">
                  <c:v>1.2513583380503317</c:v>
                </c:pt>
                <c:pt idx="37">
                  <c:v>1.3583188078736574</c:v>
                </c:pt>
                <c:pt idx="38">
                  <c:v>1.4643104989825677</c:v>
                </c:pt>
                <c:pt idx="39">
                  <c:v>1.5694005179119868</c:v>
                </c:pt>
                <c:pt idx="40">
                  <c:v>1.6736474662981746</c:v>
                </c:pt>
                <c:pt idx="41">
                  <c:v>1.7771029809214907</c:v>
                </c:pt>
                <c:pt idx="42">
                  <c:v>1.8798129188592063</c:v>
                </c:pt>
                <c:pt idx="43">
                  <c:v>1.981818285284414</c:v>
                </c:pt>
                <c:pt idx="44">
                  <c:v>2.083155970749962</c:v>
                </c:pt>
                <c:pt idx="45">
                  <c:v>2.183859344863493</c:v>
                </c:pt>
                <c:pt idx="46">
                  <c:v>2.28395873996673</c:v>
                </c:pt>
              </c:numCache>
            </c:numRef>
          </c:xVal>
          <c:yVal>
            <c:numRef>
              <c:f>'Q''_GSI'!$G$207:$G$253</c:f>
              <c:numCache>
                <c:ptCount val="47"/>
                <c:pt idx="0">
                  <c:v>0.18072551798571396</c:v>
                </c:pt>
                <c:pt idx="1">
                  <c:v>0.376552468275116</c:v>
                </c:pt>
                <c:pt idx="2">
                  <c:v>0.42145001446902297</c:v>
                </c:pt>
                <c:pt idx="3">
                  <c:v>0.46431130012177163</c:v>
                </c:pt>
                <c:pt idx="4">
                  <c:v>0.5054518116877836</c:v>
                </c:pt>
                <c:pt idx="5">
                  <c:v>0.5451083902247534</c:v>
                </c:pt>
                <c:pt idx="6">
                  <c:v>0.5834648441658514</c:v>
                </c:pt>
                <c:pt idx="7">
                  <c:v>0.6206676178287214</c:v>
                </c:pt>
                <c:pt idx="8">
                  <c:v>0.656835894813709</c:v>
                </c:pt>
                <c:pt idx="9">
                  <c:v>0.6920683941097612</c:v>
                </c:pt>
                <c:pt idx="10">
                  <c:v>0.7264481029854715</c:v>
                </c:pt>
                <c:pt idx="11">
                  <c:v>0.7600456701543022</c:v>
                </c:pt>
                <c:pt idx="12">
                  <c:v>0.7929218992088461</c:v>
                </c:pt>
                <c:pt idx="13">
                  <c:v>0.8251296202070694</c:v>
                </c:pt>
                <c:pt idx="14">
                  <c:v>0.8567151206753189</c:v>
                </c:pt>
                <c:pt idx="15">
                  <c:v>0.8877192576256235</c:v>
                </c:pt>
                <c:pt idx="16">
                  <c:v>0.9181783341815832</c:v>
                </c:pt>
                <c:pt idx="17">
                  <c:v>0.9481247995376093</c:v>
                </c:pt>
                <c:pt idx="18">
                  <c:v>0.9775878143068713</c:v>
                </c:pt>
                <c:pt idx="19">
                  <c:v>1.006593711898902</c:v>
                </c:pt>
                <c:pt idx="20">
                  <c:v>1.0351663786006606</c:v>
                </c:pt>
                <c:pt idx="21">
                  <c:v>1.063327569376747</c:v>
                </c:pt>
                <c:pt idx="22">
                  <c:v>1.118493431718199</c:v>
                </c:pt>
                <c:pt idx="23">
                  <c:v>1.1722317866132794</c:v>
                </c:pt>
                <c:pt idx="24">
                  <c:v>1.224662256203871</c:v>
                </c:pt>
                <c:pt idx="25">
                  <c:v>1.2758877978333867</c:v>
                </c:pt>
                <c:pt idx="26">
                  <c:v>1.3259978618153192</c:v>
                </c:pt>
                <c:pt idx="27">
                  <c:v>1.37507080885844</c:v>
                </c:pt>
                <c:pt idx="28">
                  <c:v>1.4231757906114846</c:v>
                </c:pt>
                <c:pt idx="29">
                  <c:v>1.4703742334684748</c:v>
                </c:pt>
                <c:pt idx="30">
                  <c:v>1.5167210242484483</c:v>
                </c:pt>
                <c:pt idx="31">
                  <c:v>1.562265468475534</c:v>
                </c:pt>
                <c:pt idx="32">
                  <c:v>1.6070520728568758</c:v>
                </c:pt>
                <c:pt idx="33">
                  <c:v>1.6511211901841125</c:v>
                </c:pt>
                <c:pt idx="34">
                  <c:v>1.69450955537499</c:v>
                </c:pt>
                <c:pt idx="35">
                  <c:v>1.7372507345033588</c:v>
                </c:pt>
                <c:pt idx="36">
                  <c:v>1.7793755036340893</c:v>
                </c:pt>
                <c:pt idx="37">
                  <c:v>1.8821710635025437</c:v>
                </c:pt>
                <c:pt idx="38">
                  <c:v>1.981671942700098</c:v>
                </c:pt>
                <c:pt idx="39">
                  <c:v>2.0781993477933987</c:v>
                </c:pt>
                <c:pt idx="40">
                  <c:v>2.172023671571159</c:v>
                </c:pt>
                <c:pt idx="41">
                  <c:v>2.2633752874501503</c:v>
                </c:pt>
                <c:pt idx="42">
                  <c:v>2.352452531289199</c:v>
                </c:pt>
                <c:pt idx="43">
                  <c:v>2.439427723850266</c:v>
                </c:pt>
                <c:pt idx="44">
                  <c:v>2.5244517956751076</c:v>
                </c:pt>
                <c:pt idx="45">
                  <c:v>2.6076578942515805</c:v>
                </c:pt>
                <c:pt idx="46">
                  <c:v>2.689164236435589</c:v>
                </c:pt>
              </c:numCache>
            </c:numRef>
          </c:yVal>
          <c:smooth val="1"/>
        </c:ser>
        <c:axId val="22663868"/>
        <c:axId val="2648221"/>
      </c:scatterChart>
      <c:valAx>
        <c:axId val="22663868"/>
        <c:scaling>
          <c:orientation val="minMax"/>
          <c:max val="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s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2648221"/>
        <c:crossesAt val="0"/>
        <c:crossBetween val="midCat"/>
        <c:dispUnits/>
        <c:majorUnit val="0.5"/>
        <c:minorUnit val="0.1"/>
      </c:valAx>
      <c:valAx>
        <c:axId val="2648221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t</a:t>
                </a: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  [MPa]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out"/>
        <c:tickLblPos val="nextTo"/>
        <c:crossAx val="22663868"/>
        <c:crossesAt val="0"/>
        <c:crossBetween val="midCat"/>
        <c:dispUnits/>
        <c:majorUnit val="0.5"/>
        <c:min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75"/>
          <c:w val="0.23575"/>
          <c:h val="0.084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9525</xdr:rowOff>
    </xdr:from>
    <xdr:to>
      <xdr:col>13</xdr:col>
      <xdr:colOff>0</xdr:colOff>
      <xdr:row>102</xdr:row>
      <xdr:rowOff>38100</xdr:rowOff>
    </xdr:to>
    <xdr:graphicFrame>
      <xdr:nvGraphicFramePr>
        <xdr:cNvPr id="1" name="Chart 1"/>
        <xdr:cNvGraphicFramePr/>
      </xdr:nvGraphicFramePr>
      <xdr:xfrm>
        <a:off x="38100" y="10972800"/>
        <a:ext cx="66103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542925</xdr:colOff>
      <xdr:row>29</xdr:row>
      <xdr:rowOff>133350</xdr:rowOff>
    </xdr:to>
    <xdr:graphicFrame>
      <xdr:nvGraphicFramePr>
        <xdr:cNvPr id="1" name="Chart 3"/>
        <xdr:cNvGraphicFramePr/>
      </xdr:nvGraphicFramePr>
      <xdr:xfrm>
        <a:off x="19050" y="609600"/>
        <a:ext cx="2352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47625</xdr:rowOff>
    </xdr:from>
    <xdr:to>
      <xdr:col>14</xdr:col>
      <xdr:colOff>314325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2543175" y="619125"/>
        <a:ext cx="63627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3</xdr:col>
      <xdr:colOff>542925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9050" y="609600"/>
        <a:ext cx="23526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</xdr:row>
      <xdr:rowOff>47625</xdr:rowOff>
    </xdr:from>
    <xdr:to>
      <xdr:col>14</xdr:col>
      <xdr:colOff>314325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2543175" y="619125"/>
        <a:ext cx="63627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12"/>
  <sheetViews>
    <sheetView tabSelected="1" workbookViewId="0" topLeftCell="A4">
      <selection activeCell="K6" sqref="K6"/>
    </sheetView>
  </sheetViews>
  <sheetFormatPr defaultColWidth="9.140625" defaultRowHeight="10.5" customHeight="1"/>
  <cols>
    <col min="1" max="1" width="7.140625" style="117" customWidth="1"/>
    <col min="2" max="2" width="7.7109375" style="117" customWidth="1"/>
    <col min="3" max="3" width="7.00390625" style="117" customWidth="1"/>
    <col min="4" max="4" width="7.8515625" style="117" customWidth="1"/>
    <col min="5" max="5" width="8.421875" style="117" customWidth="1"/>
    <col min="6" max="6" width="6.57421875" style="117" customWidth="1"/>
    <col min="7" max="7" width="8.7109375" style="117" customWidth="1"/>
    <col min="8" max="8" width="6.00390625" style="117" customWidth="1"/>
    <col min="9" max="9" width="10.7109375" style="117" customWidth="1"/>
    <col min="10" max="10" width="9.57421875" style="117" customWidth="1"/>
    <col min="11" max="11" width="7.8515625" style="117" customWidth="1"/>
    <col min="12" max="12" width="6.140625" style="117" customWidth="1"/>
    <col min="13" max="13" width="6.00390625" style="117" customWidth="1"/>
    <col min="14" max="14" width="9.140625" style="117" customWidth="1"/>
    <col min="15" max="15" width="10.00390625" style="117" customWidth="1"/>
    <col min="16" max="16" width="9.140625" style="117" customWidth="1"/>
    <col min="17" max="17" width="11.00390625" style="117" customWidth="1"/>
    <col min="18" max="18" width="8.140625" style="117" customWidth="1"/>
    <col min="19" max="19" width="10.7109375" style="117" bestFit="1" customWidth="1"/>
    <col min="20" max="20" width="14.28125" style="117" customWidth="1"/>
    <col min="21" max="16384" width="9.140625" style="117" customWidth="1"/>
  </cols>
  <sheetData>
    <row r="1" spans="1:12" s="2" customFormat="1" ht="12.75">
      <c r="A1" s="1" t="s">
        <v>0</v>
      </c>
      <c r="L1" s="1" t="s">
        <v>1</v>
      </c>
    </row>
    <row r="2" spans="1:4" s="3" customFormat="1" ht="10.5" customHeight="1">
      <c r="A2" s="1"/>
      <c r="B2" s="2"/>
      <c r="C2" s="2"/>
      <c r="D2" s="2"/>
    </row>
    <row r="3" spans="1:10" s="3" customFormat="1" ht="12.75">
      <c r="A3" s="4" t="s">
        <v>2</v>
      </c>
      <c r="B3" s="5"/>
      <c r="C3" s="12" t="s">
        <v>131</v>
      </c>
      <c r="D3" s="292"/>
      <c r="E3" s="292"/>
      <c r="F3" s="292"/>
      <c r="G3" s="292"/>
      <c r="H3" s="292"/>
      <c r="I3" s="269"/>
      <c r="J3" s="270"/>
    </row>
    <row r="4" spans="1:10" s="3" customFormat="1" ht="12.75">
      <c r="A4" s="6" t="s">
        <v>3</v>
      </c>
      <c r="B4" s="7"/>
      <c r="C4" s="13" t="s">
        <v>135</v>
      </c>
      <c r="D4" s="293"/>
      <c r="E4" s="293"/>
      <c r="F4" s="293"/>
      <c r="G4" s="293"/>
      <c r="H4" s="293"/>
      <c r="I4" s="271"/>
      <c r="J4" s="272"/>
    </row>
    <row r="5" spans="1:10" s="3" customFormat="1" ht="12.75">
      <c r="A5" s="6" t="s">
        <v>4</v>
      </c>
      <c r="B5" s="7"/>
      <c r="C5" s="14" t="s">
        <v>132</v>
      </c>
      <c r="D5" s="293"/>
      <c r="E5" s="293"/>
      <c r="F5" s="293"/>
      <c r="G5" s="293"/>
      <c r="H5" s="293"/>
      <c r="I5" s="271"/>
      <c r="J5" s="272"/>
    </row>
    <row r="6" spans="1:10" s="3" customFormat="1" ht="12.75">
      <c r="A6" s="6" t="s">
        <v>5</v>
      </c>
      <c r="B6" s="7"/>
      <c r="C6" s="265" t="s">
        <v>133</v>
      </c>
      <c r="D6" s="293"/>
      <c r="E6" s="293"/>
      <c r="F6" s="293"/>
      <c r="G6" s="293"/>
      <c r="H6" s="293"/>
      <c r="I6" s="271"/>
      <c r="J6" s="272"/>
    </row>
    <row r="7" spans="1:10" s="3" customFormat="1" ht="3.75" customHeight="1">
      <c r="A7" s="6"/>
      <c r="B7" s="7"/>
      <c r="C7" s="13" t="s">
        <v>1</v>
      </c>
      <c r="D7" s="293"/>
      <c r="E7" s="293"/>
      <c r="F7" s="293"/>
      <c r="G7" s="293"/>
      <c r="H7" s="293"/>
      <c r="I7" s="271"/>
      <c r="J7" s="272"/>
    </row>
    <row r="8" spans="1:10" s="3" customFormat="1" ht="12.75">
      <c r="A8" s="6" t="s">
        <v>6</v>
      </c>
      <c r="B8" s="7"/>
      <c r="C8" s="13"/>
      <c r="D8" s="293"/>
      <c r="E8" s="293"/>
      <c r="F8" s="293"/>
      <c r="G8" s="293"/>
      <c r="H8" s="293"/>
      <c r="I8" s="271"/>
      <c r="J8" s="272"/>
    </row>
    <row r="9" spans="1:10" s="3" customFormat="1" ht="10.5" customHeight="1">
      <c r="A9" s="8" t="s">
        <v>7</v>
      </c>
      <c r="B9" s="19"/>
      <c r="C9" s="15" t="s">
        <v>137</v>
      </c>
      <c r="D9" s="294"/>
      <c r="E9" s="294"/>
      <c r="F9" s="294"/>
      <c r="G9" s="294"/>
      <c r="H9" s="294"/>
      <c r="I9" s="273"/>
      <c r="J9" s="274"/>
    </row>
    <row r="10" spans="1:6" s="3" customFormat="1" ht="11.25" customHeight="1">
      <c r="A10" s="1"/>
      <c r="B10" s="2"/>
      <c r="C10" s="120"/>
      <c r="D10" s="120"/>
      <c r="E10" s="120"/>
      <c r="F10" s="120"/>
    </row>
    <row r="11" spans="1:6" s="3" customFormat="1" ht="10.5" customHeight="1">
      <c r="A11" s="1" t="s">
        <v>103</v>
      </c>
      <c r="B11" s="2"/>
      <c r="C11" s="120"/>
      <c r="D11" s="120"/>
      <c r="E11" s="120"/>
      <c r="F11" s="120"/>
    </row>
    <row r="12" spans="1:6" s="3" customFormat="1" ht="3.75" customHeight="1">
      <c r="A12" s="1"/>
      <c r="B12" s="2"/>
      <c r="C12" s="120"/>
      <c r="D12" s="120"/>
      <c r="E12" s="120"/>
      <c r="F12" s="120"/>
    </row>
    <row r="13" spans="1:10" s="3" customFormat="1" ht="13.5" customHeight="1">
      <c r="A13" s="308" t="s">
        <v>142</v>
      </c>
      <c r="B13" s="295"/>
      <c r="C13" s="295"/>
      <c r="D13" s="295"/>
      <c r="E13" s="295"/>
      <c r="F13" s="295"/>
      <c r="G13" s="295"/>
      <c r="H13" s="296"/>
      <c r="I13" s="269"/>
      <c r="J13" s="270"/>
    </row>
    <row r="14" spans="1:10" s="3" customFormat="1" ht="13.5" customHeight="1">
      <c r="A14" s="309" t="s">
        <v>138</v>
      </c>
      <c r="B14" s="297"/>
      <c r="C14" s="297"/>
      <c r="D14" s="297"/>
      <c r="E14" s="297"/>
      <c r="F14" s="297"/>
      <c r="G14" s="297"/>
      <c r="H14" s="298"/>
      <c r="I14" s="271"/>
      <c r="J14" s="272"/>
    </row>
    <row r="15" spans="1:10" s="3" customFormat="1" ht="13.5" customHeight="1">
      <c r="A15" s="310" t="s">
        <v>136</v>
      </c>
      <c r="B15" s="299"/>
      <c r="C15" s="299"/>
      <c r="D15" s="299"/>
      <c r="E15" s="299"/>
      <c r="F15" s="299"/>
      <c r="G15" s="299"/>
      <c r="H15" s="300"/>
      <c r="I15" s="273"/>
      <c r="J15" s="274"/>
    </row>
    <row r="16" spans="1:6" s="3" customFormat="1" ht="9.75" customHeight="1">
      <c r="A16" s="1"/>
      <c r="B16" s="2"/>
      <c r="C16" s="120"/>
      <c r="D16" s="120"/>
      <c r="E16" s="120"/>
      <c r="F16" s="120"/>
    </row>
    <row r="17" spans="1:6" s="3" customFormat="1" ht="12.75" customHeight="1">
      <c r="A17" s="1" t="s">
        <v>105</v>
      </c>
      <c r="B17" s="2"/>
      <c r="C17" s="120"/>
      <c r="D17" s="120"/>
      <c r="E17" s="120"/>
      <c r="F17" s="120"/>
    </row>
    <row r="18" spans="1:6" s="3" customFormat="1" ht="12.75" customHeight="1">
      <c r="A18" s="1" t="s">
        <v>116</v>
      </c>
      <c r="B18" s="2"/>
      <c r="C18" s="120"/>
      <c r="D18" s="120"/>
      <c r="E18" s="120"/>
      <c r="F18" s="120"/>
    </row>
    <row r="19" spans="1:6" s="3" customFormat="1" ht="6.75" customHeight="1">
      <c r="A19" s="1"/>
      <c r="B19" s="2"/>
      <c r="C19" s="120"/>
      <c r="D19" s="120"/>
      <c r="E19" s="120"/>
      <c r="F19" s="120"/>
    </row>
    <row r="20" spans="1:10" s="3" customFormat="1" ht="12.75" customHeight="1">
      <c r="A20" s="275" t="s">
        <v>107</v>
      </c>
      <c r="B20" s="80"/>
      <c r="C20" s="302" t="s">
        <v>120</v>
      </c>
      <c r="D20" s="291"/>
      <c r="E20" s="40" t="s">
        <v>27</v>
      </c>
      <c r="F20" s="303" t="s">
        <v>139</v>
      </c>
      <c r="G20" s="339" t="s">
        <v>110</v>
      </c>
      <c r="H20" s="340"/>
      <c r="I20" s="339" t="s">
        <v>111</v>
      </c>
      <c r="J20" s="340"/>
    </row>
    <row r="21" spans="1:10" s="3" customFormat="1" ht="14.25" customHeight="1">
      <c r="A21" s="277" t="s">
        <v>64</v>
      </c>
      <c r="B21" s="2"/>
      <c r="C21" s="120"/>
      <c r="D21" s="120"/>
      <c r="E21" s="120"/>
      <c r="F21" s="317" t="s">
        <v>123</v>
      </c>
      <c r="G21" s="341">
        <v>73</v>
      </c>
      <c r="H21" s="342"/>
      <c r="I21" s="341">
        <v>21</v>
      </c>
      <c r="J21" s="342"/>
    </row>
    <row r="22" spans="1:10" s="3" customFormat="1" ht="12.75" customHeight="1">
      <c r="A22" s="277" t="s">
        <v>106</v>
      </c>
      <c r="B22" s="2"/>
      <c r="C22" s="120"/>
      <c r="D22" s="120"/>
      <c r="E22" s="120"/>
      <c r="F22" s="280" t="s">
        <v>108</v>
      </c>
      <c r="G22" s="337">
        <v>8</v>
      </c>
      <c r="H22" s="338"/>
      <c r="I22" s="343">
        <v>7</v>
      </c>
      <c r="J22" s="344"/>
    </row>
    <row r="23" spans="1:10" s="3" customFormat="1" ht="12.75" customHeight="1">
      <c r="A23" s="277" t="s">
        <v>109</v>
      </c>
      <c r="B23" s="2"/>
      <c r="C23" s="120"/>
      <c r="D23" s="120"/>
      <c r="E23" s="120"/>
      <c r="F23" s="281" t="s">
        <v>13</v>
      </c>
      <c r="G23" s="337">
        <v>91</v>
      </c>
      <c r="H23" s="338"/>
      <c r="I23" s="331">
        <f>100-G23</f>
        <v>9</v>
      </c>
      <c r="J23" s="332"/>
    </row>
    <row r="24" spans="1:10" s="3" customFormat="1" ht="3.75" customHeight="1">
      <c r="A24" s="279"/>
      <c r="B24" s="217"/>
      <c r="C24" s="278"/>
      <c r="D24" s="278"/>
      <c r="E24" s="278"/>
      <c r="F24" s="125"/>
      <c r="G24" s="282"/>
      <c r="H24" s="283"/>
      <c r="I24" s="328"/>
      <c r="J24" s="329"/>
    </row>
    <row r="25" s="3" customFormat="1" ht="12" customHeight="1"/>
    <row r="26" s="3" customFormat="1" ht="12.75" customHeight="1">
      <c r="A26" s="1" t="s">
        <v>113</v>
      </c>
    </row>
    <row r="27" s="3" customFormat="1" ht="3.75" customHeight="1"/>
    <row r="28" spans="1:9" s="3" customFormat="1" ht="12.75" customHeight="1">
      <c r="A28" s="275" t="s">
        <v>64</v>
      </c>
      <c r="B28" s="80"/>
      <c r="C28" s="276"/>
      <c r="D28" s="276"/>
      <c r="E28" s="276"/>
      <c r="F28" s="326" t="s">
        <v>123</v>
      </c>
      <c r="G28" s="330">
        <f>IF($C$20="omogeneo",G21,IF($C$20="alternanze",(IF(OR($F$20="A",$F$20="B"),G21,IF(OR($F$20="C",$F$20="D",$F$20="E"),(G21*$G$23+I21*$I$23)/100,IF($F$20="F",(G21*0.4+I21)/2,IF(OR($F$20="G",$F$20="H"),I21,"classe?"))))),"tipo ?"))</f>
        <v>73</v>
      </c>
      <c r="H28" s="2"/>
      <c r="I28" s="327">
        <f>IF(AND(OR(F20="C",F20="D",F20="E",F20="F",F20="G",F20="G",F20="H"),G23&gt;89),"Attenzione: classe A o B !",IF(AND(OR(F20="A",F20="B",F20="C",F20="D",F20="E",F20="F"),G23&lt;11),"Attenzione: classe G o H !",""))</f>
      </c>
    </row>
    <row r="29" spans="1:9" s="3" customFormat="1" ht="12.75" customHeight="1">
      <c r="A29" s="279" t="s">
        <v>106</v>
      </c>
      <c r="B29" s="217"/>
      <c r="C29" s="278"/>
      <c r="D29" s="278"/>
      <c r="E29" s="278"/>
      <c r="F29" s="316" t="s">
        <v>112</v>
      </c>
      <c r="G29" s="285">
        <f>IF($C$20="omogeneo",G22,IF($C$20="alternanze",(IF(OR($F$20="A",$F$20="B"),G22,IF(OR($F$20="C",$F$20="D",$F$20="E"),(G22*$G$23+I22*$I$23)/100,IF($F$20="F",(G22*0.4+I22)/2,IF(OR($F$20="G",$F$20="H"),I22,"classe?"))))),"tipo ?"))</f>
        <v>8</v>
      </c>
      <c r="H29" s="2"/>
      <c r="I29" s="327"/>
    </row>
    <row r="30" s="3" customFormat="1" ht="6" customHeight="1"/>
    <row r="31" s="3" customFormat="1" ht="7.5" customHeight="1"/>
    <row r="32" spans="1:11" s="3" customFormat="1" ht="12.75">
      <c r="A32" s="1" t="s">
        <v>8</v>
      </c>
      <c r="B32" s="2"/>
      <c r="C32" s="2"/>
      <c r="D32" s="2"/>
      <c r="E32" s="20"/>
      <c r="F32" s="21"/>
      <c r="G32" s="21"/>
      <c r="H32" s="2"/>
      <c r="I32" s="20"/>
      <c r="J32" s="21"/>
      <c r="K32" s="21"/>
    </row>
    <row r="33" spans="1:11" s="3" customFormat="1" ht="3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2" s="3" customFormat="1" ht="14.25">
      <c r="A34" s="28" t="s">
        <v>9</v>
      </c>
      <c r="B34" s="28" t="s">
        <v>10</v>
      </c>
      <c r="C34" s="9" t="s">
        <v>11</v>
      </c>
      <c r="D34" s="11" t="s">
        <v>9</v>
      </c>
      <c r="E34" s="121" t="s">
        <v>12</v>
      </c>
      <c r="F34" s="11"/>
      <c r="G34" s="11"/>
      <c r="H34" s="11" t="s">
        <v>24</v>
      </c>
      <c r="I34" s="121" t="s">
        <v>25</v>
      </c>
      <c r="J34" s="2"/>
      <c r="L34" s="2"/>
    </row>
    <row r="35" spans="1:12" s="3" customFormat="1" ht="12.75">
      <c r="A35" s="29" t="s">
        <v>13</v>
      </c>
      <c r="B35" s="29" t="s">
        <v>14</v>
      </c>
      <c r="C35" s="10" t="s">
        <v>14</v>
      </c>
      <c r="D35" s="2"/>
      <c r="E35" s="2"/>
      <c r="F35" s="2"/>
      <c r="G35" s="2"/>
      <c r="H35" s="2"/>
      <c r="I35" s="2"/>
      <c r="J35" s="24"/>
      <c r="L35" s="2"/>
    </row>
    <row r="36" spans="1:12" s="3" customFormat="1" ht="12" customHeight="1">
      <c r="A36" s="243"/>
      <c r="B36" s="243"/>
      <c r="C36" s="244"/>
      <c r="D36" s="11" t="s">
        <v>15</v>
      </c>
      <c r="E36" s="121" t="s">
        <v>16</v>
      </c>
      <c r="F36" s="11"/>
      <c r="G36" s="11"/>
      <c r="H36" s="11" t="s">
        <v>21</v>
      </c>
      <c r="I36" s="78" t="s">
        <v>26</v>
      </c>
      <c r="J36" s="24"/>
      <c r="L36" s="2"/>
    </row>
    <row r="37" spans="1:9" s="3" customFormat="1" ht="12.75">
      <c r="A37" s="143">
        <v>10</v>
      </c>
      <c r="B37" s="144">
        <v>1</v>
      </c>
      <c r="C37" s="145">
        <v>1</v>
      </c>
      <c r="D37" s="2"/>
      <c r="E37" s="2"/>
      <c r="F37" s="2"/>
      <c r="G37" s="2"/>
      <c r="H37" s="2"/>
      <c r="I37" s="2"/>
    </row>
    <row r="38" spans="1:7" s="2" customFormat="1" ht="14.25">
      <c r="A38" s="23"/>
      <c r="B38" s="24"/>
      <c r="C38" s="32"/>
      <c r="D38" s="11" t="s">
        <v>17</v>
      </c>
      <c r="E38" s="121" t="s">
        <v>18</v>
      </c>
      <c r="F38" s="11"/>
      <c r="G38" s="11"/>
    </row>
    <row r="39" spans="1:8" s="3" customFormat="1" ht="14.25">
      <c r="A39" s="28" t="s">
        <v>19</v>
      </c>
      <c r="B39" s="28" t="s">
        <v>20</v>
      </c>
      <c r="C39" s="9" t="s">
        <v>21</v>
      </c>
      <c r="D39" s="2"/>
      <c r="E39" s="2"/>
      <c r="F39" s="2"/>
      <c r="G39" s="2"/>
      <c r="H39" s="24"/>
    </row>
    <row r="40" spans="1:8" s="3" customFormat="1" ht="14.25">
      <c r="A40" s="29" t="s">
        <v>14</v>
      </c>
      <c r="B40" s="29" t="s">
        <v>14</v>
      </c>
      <c r="C40" s="10" t="s">
        <v>14</v>
      </c>
      <c r="D40" s="11" t="s">
        <v>22</v>
      </c>
      <c r="E40" s="121" t="s">
        <v>23</v>
      </c>
      <c r="F40" s="77"/>
      <c r="G40" s="122"/>
      <c r="H40" s="24"/>
    </row>
    <row r="41" spans="1:11" s="3" customFormat="1" ht="7.5" customHeight="1">
      <c r="A41" s="243"/>
      <c r="B41" s="245"/>
      <c r="C41" s="244"/>
      <c r="D41" s="24"/>
      <c r="E41" s="2"/>
      <c r="F41" s="2"/>
      <c r="G41" s="2"/>
      <c r="H41" s="2"/>
      <c r="I41" s="2"/>
      <c r="J41" s="53"/>
      <c r="K41" s="24"/>
    </row>
    <row r="42" spans="1:4" s="3" customFormat="1" ht="12.75">
      <c r="A42" s="144">
        <v>9</v>
      </c>
      <c r="B42" s="144">
        <v>2</v>
      </c>
      <c r="C42" s="146">
        <v>1</v>
      </c>
      <c r="D42" s="24"/>
    </row>
    <row r="43" spans="1:11" s="3" customFormat="1" ht="12.75" customHeight="1">
      <c r="A43" s="24"/>
      <c r="B43" s="24"/>
      <c r="C43" s="24"/>
      <c r="D43" s="24"/>
      <c r="E43" s="11"/>
      <c r="F43" s="78"/>
      <c r="G43" s="77"/>
      <c r="H43" s="122"/>
      <c r="I43" s="24"/>
      <c r="J43" s="53"/>
      <c r="K43" s="24"/>
    </row>
    <row r="44" spans="1:11" s="3" customFormat="1" ht="12.75">
      <c r="A44" s="333" t="s">
        <v>98</v>
      </c>
      <c r="B44" s="334"/>
      <c r="C44" s="334"/>
      <c r="D44" s="334"/>
      <c r="E44" s="335"/>
      <c r="F44" s="27"/>
      <c r="G44" s="27"/>
      <c r="H44" s="123"/>
      <c r="I44" s="24"/>
      <c r="J44" s="24"/>
      <c r="K44" s="24"/>
    </row>
    <row r="45" spans="1:12" s="3" customFormat="1" ht="12.75">
      <c r="A45" s="9" t="s">
        <v>29</v>
      </c>
      <c r="B45" s="28" t="s">
        <v>27</v>
      </c>
      <c r="C45" s="31" t="s">
        <v>28</v>
      </c>
      <c r="D45" s="59"/>
      <c r="E45" s="124"/>
      <c r="F45" s="27"/>
      <c r="G45" s="77" t="s">
        <v>29</v>
      </c>
      <c r="H45" s="79" t="s">
        <v>30</v>
      </c>
      <c r="I45" s="24"/>
      <c r="J45" s="24"/>
      <c r="K45" s="24"/>
      <c r="L45" s="11"/>
    </row>
    <row r="46" spans="1:12" s="3" customFormat="1" ht="12.75">
      <c r="A46" s="10" t="s">
        <v>14</v>
      </c>
      <c r="B46" s="29"/>
      <c r="C46" s="29"/>
      <c r="D46" s="61"/>
      <c r="E46" s="125"/>
      <c r="F46" s="27"/>
      <c r="G46" s="27"/>
      <c r="H46" s="79" t="s">
        <v>31</v>
      </c>
      <c r="I46" s="24"/>
      <c r="J46" s="24"/>
      <c r="K46" s="24"/>
      <c r="L46" s="22"/>
    </row>
    <row r="47" spans="1:12" s="3" customFormat="1" ht="13.5" customHeight="1">
      <c r="A47" s="119"/>
      <c r="B47" s="18"/>
      <c r="C47" s="18"/>
      <c r="D47" s="24"/>
      <c r="E47" s="7"/>
      <c r="F47" s="27"/>
      <c r="G47" s="27"/>
      <c r="H47" s="79" t="s">
        <v>32</v>
      </c>
      <c r="I47" s="24"/>
      <c r="J47" s="24"/>
      <c r="K47" s="24"/>
      <c r="L47" s="82"/>
    </row>
    <row r="48" spans="1:12" s="3" customFormat="1" ht="12.75">
      <c r="A48" s="187">
        <f>(A37/A42)*(B37/B42)</f>
        <v>0.5555555555555556</v>
      </c>
      <c r="B48" s="30" t="str">
        <f>IF(A48&lt;0.01,"G",IF(A48&lt;0.1,"F",IF(A48&lt;1,"E",IF(A48&lt;4,"D",IF(A48&lt;10,"C",IF(A48&lt;40,"B","A"))))))</f>
        <v>E</v>
      </c>
      <c r="C48" s="62" t="str">
        <f>IF(A48&lt;0.01,"eccezionalmente scadente",IF(A48&lt;0.1,"estremamente scadente",IF(A48&lt;1,"molto scadente",IF(A48&lt;4,"scadente",IF(A48&lt;10,"discreta",IF(A48&lt;40,"buona",IF(A48&lt;100,"molto buona",IF(A48&lt;400,"estremamente buona","eccezionalmente buona"))))))))</f>
        <v>molto scadente</v>
      </c>
      <c r="D48" s="63"/>
      <c r="E48" s="126"/>
      <c r="F48" s="27"/>
      <c r="G48" s="27"/>
      <c r="H48" s="79"/>
      <c r="I48" s="24"/>
      <c r="J48" s="24"/>
      <c r="K48" s="24"/>
      <c r="L48" s="242"/>
    </row>
    <row r="49" spans="1:11" s="3" customFormat="1" ht="6" customHeight="1">
      <c r="A49" s="127"/>
      <c r="B49" s="24"/>
      <c r="C49" s="64"/>
      <c r="D49" s="64"/>
      <c r="E49" s="21"/>
      <c r="F49" s="27"/>
      <c r="G49" s="27"/>
      <c r="H49" s="123"/>
      <c r="I49" s="24"/>
      <c r="J49" s="24"/>
      <c r="K49" s="24"/>
    </row>
    <row r="50" spans="1:11" s="3" customFormat="1" ht="9.75" customHeight="1">
      <c r="A50" s="25"/>
      <c r="B50" s="23"/>
      <c r="C50" s="26"/>
      <c r="D50" s="2"/>
      <c r="E50" s="27"/>
      <c r="F50" s="27"/>
      <c r="G50" s="27"/>
      <c r="H50" s="123"/>
      <c r="I50" s="24"/>
      <c r="J50" s="24"/>
      <c r="K50" s="24"/>
    </row>
    <row r="51" spans="1:11" s="3" customFormat="1" ht="12.75">
      <c r="A51" s="1" t="s">
        <v>33</v>
      </c>
      <c r="B51" s="23"/>
      <c r="C51" s="26"/>
      <c r="D51" s="2"/>
      <c r="E51" s="27"/>
      <c r="F51" s="27"/>
      <c r="G51" s="27"/>
      <c r="H51" s="123"/>
      <c r="I51" s="24"/>
      <c r="J51" s="24"/>
      <c r="K51" s="24"/>
    </row>
    <row r="52" spans="1:13" s="3" customFormat="1" ht="3.75" customHeight="1">
      <c r="A52" s="25"/>
      <c r="B52" s="23"/>
      <c r="C52" s="26"/>
      <c r="D52" s="2"/>
      <c r="E52" s="27"/>
      <c r="F52" s="27"/>
      <c r="G52" s="27"/>
      <c r="H52" s="123"/>
      <c r="I52" s="24"/>
      <c r="J52" s="24"/>
      <c r="K52" s="24"/>
      <c r="M52" s="160"/>
    </row>
    <row r="53" spans="1:13" s="3" customFormat="1" ht="17.25" customHeight="1">
      <c r="A53" s="39" t="s">
        <v>124</v>
      </c>
      <c r="B53" s="42"/>
      <c r="C53" s="42"/>
      <c r="D53" s="42"/>
      <c r="E53" s="42"/>
      <c r="F53" s="40" t="s">
        <v>34</v>
      </c>
      <c r="G53" s="27"/>
      <c r="H53" s="304">
        <f>G28</f>
        <v>73</v>
      </c>
      <c r="I53" s="305"/>
      <c r="J53" s="306"/>
      <c r="K53" s="24"/>
      <c r="L53" s="44">
        <f>ROUND(IF(H53&lt;50,1.0564729+0.090819*H53,IF(H53&lt;100,1.6284634+0.079345*H53,IF(H53&lt;240,-19.40563+6.3079436*LN(H53),15))),0)</f>
        <v>7</v>
      </c>
      <c r="M53" s="160"/>
    </row>
    <row r="54" spans="1:13" s="3" customFormat="1" ht="17.25" customHeight="1">
      <c r="A54" s="39" t="s">
        <v>35</v>
      </c>
      <c r="B54" s="42"/>
      <c r="C54" s="42"/>
      <c r="D54" s="42"/>
      <c r="E54" s="42"/>
      <c r="F54" s="40" t="s">
        <v>13</v>
      </c>
      <c r="G54" s="27"/>
      <c r="H54" s="304">
        <v>0</v>
      </c>
      <c r="I54" s="305"/>
      <c r="J54" s="306"/>
      <c r="K54" s="24"/>
      <c r="L54" s="44">
        <f>ROUND(IF(H54&lt;25,3+0.12*H54,IF(H54&lt;40,2+0.153846*H54,0.2*H54)),0)</f>
        <v>3</v>
      </c>
      <c r="M54" s="160"/>
    </row>
    <row r="55" spans="1:13" s="3" customFormat="1" ht="13.5" customHeight="1">
      <c r="A55" s="152" t="s">
        <v>36</v>
      </c>
      <c r="B55" s="153"/>
      <c r="C55" s="153"/>
      <c r="D55" s="153"/>
      <c r="E55" s="153"/>
      <c r="F55" s="157" t="s">
        <v>14</v>
      </c>
      <c r="G55" s="27"/>
      <c r="H55" s="158">
        <v>3</v>
      </c>
      <c r="I55" s="247"/>
      <c r="J55" s="248"/>
      <c r="K55" s="249">
        <f>H56*10</f>
        <v>120</v>
      </c>
      <c r="L55" s="163"/>
      <c r="M55" s="160"/>
    </row>
    <row r="56" spans="1:13" s="3" customFormat="1" ht="15" customHeight="1">
      <c r="A56" s="154" t="s">
        <v>37</v>
      </c>
      <c r="B56" s="155"/>
      <c r="C56" s="155"/>
      <c r="D56" s="156"/>
      <c r="E56" s="155"/>
      <c r="F56" s="50" t="s">
        <v>38</v>
      </c>
      <c r="G56" s="27"/>
      <c r="H56" s="261">
        <v>12</v>
      </c>
      <c r="I56" s="250"/>
      <c r="J56" s="251"/>
      <c r="K56" s="159">
        <f>ROUND(IF(K55&lt;200,5.2+0.014*K55,IF(K55&lt;520,6.125+0.009375*K55,IF(K55&lt;940,7.2857142+0.0071428*K55,IF(K55&lt;1600,8.3030303+0.0060606*K55,IF(K55&lt;2000,10+0.005*K55,20))))),0)</f>
        <v>7</v>
      </c>
      <c r="L56" s="10">
        <f>ROUND(IF(H55&lt;3,K56*1.3,K56),0)</f>
        <v>7</v>
      </c>
      <c r="M56" s="160"/>
    </row>
    <row r="57" spans="1:13" s="3" customFormat="1" ht="12.75">
      <c r="A57" s="35" t="s">
        <v>39</v>
      </c>
      <c r="B57" s="23"/>
      <c r="C57" s="24"/>
      <c r="D57" s="24"/>
      <c r="E57" s="32"/>
      <c r="F57" s="37"/>
      <c r="G57" s="27"/>
      <c r="H57" s="147"/>
      <c r="I57" s="252"/>
      <c r="J57" s="253"/>
      <c r="K57" s="24"/>
      <c r="L57" s="37"/>
      <c r="M57" s="160"/>
    </row>
    <row r="58" spans="1:13" s="3" customFormat="1" ht="12.75">
      <c r="A58" s="36"/>
      <c r="B58" s="33" t="s">
        <v>40</v>
      </c>
      <c r="C58" s="26"/>
      <c r="D58" s="128"/>
      <c r="E58" s="27"/>
      <c r="F58" s="38" t="s">
        <v>41</v>
      </c>
      <c r="G58" s="27"/>
      <c r="H58" s="148">
        <v>20</v>
      </c>
      <c r="I58" s="254"/>
      <c r="J58" s="253"/>
      <c r="K58" s="24"/>
      <c r="L58" s="49">
        <f>IF(H58&lt;0.75,6,IF(H58&lt;1.5,5,IF(H58&lt;2.5,4,IF(H58&lt;4.5,3,IF(H58&lt;10,2,IF(H58&lt;20,1,0))))))</f>
        <v>0</v>
      </c>
      <c r="M58" s="160"/>
    </row>
    <row r="59" spans="1:13" s="3" customFormat="1" ht="12.75">
      <c r="A59" s="36"/>
      <c r="B59" s="33" t="s">
        <v>42</v>
      </c>
      <c r="C59" s="26"/>
      <c r="D59" s="128"/>
      <c r="E59" s="27"/>
      <c r="F59" s="38" t="s">
        <v>43</v>
      </c>
      <c r="G59" s="27"/>
      <c r="H59" s="215">
        <v>10</v>
      </c>
      <c r="I59" s="252"/>
      <c r="J59" s="253"/>
      <c r="K59" s="24"/>
      <c r="L59" s="49">
        <f>IF(H59="chiuse",6,IF(H59&lt;0.1,5,IF(H59&lt;1,4,IF(H59&gt;5,0,1))))</f>
        <v>0</v>
      </c>
      <c r="M59" s="160"/>
    </row>
    <row r="60" spans="1:13" s="3" customFormat="1" ht="12.75">
      <c r="A60" s="36"/>
      <c r="B60" s="33" t="s">
        <v>44</v>
      </c>
      <c r="C60" s="26"/>
      <c r="D60" s="128"/>
      <c r="E60" s="27"/>
      <c r="F60" s="38" t="s">
        <v>14</v>
      </c>
      <c r="G60" s="27"/>
      <c r="H60" s="149" t="s">
        <v>140</v>
      </c>
      <c r="I60" s="255"/>
      <c r="J60" s="253"/>
      <c r="K60" s="24"/>
      <c r="L60" s="49">
        <f>IF(H60="molto rugose",6,IF(H60="rugose",5,IF(H60="debolmente rugose",3,IF(H60="lisce",1,IF(H60="lisciate",0,"errore")))))</f>
        <v>3</v>
      </c>
      <c r="M60" s="160"/>
    </row>
    <row r="61" spans="1:13" s="3" customFormat="1" ht="11.25" customHeight="1">
      <c r="A61" s="36"/>
      <c r="B61" s="33" t="s">
        <v>45</v>
      </c>
      <c r="C61" s="26"/>
      <c r="D61" s="128"/>
      <c r="E61" s="27"/>
      <c r="F61" s="38"/>
      <c r="G61" s="27"/>
      <c r="H61" s="147"/>
      <c r="I61" s="252"/>
      <c r="J61" s="253"/>
      <c r="K61" s="24"/>
      <c r="L61" s="37"/>
      <c r="M61" s="160"/>
    </row>
    <row r="62" spans="1:13" s="3" customFormat="1" ht="12.75">
      <c r="A62" s="36"/>
      <c r="B62" s="23"/>
      <c r="C62" s="34" t="s">
        <v>46</v>
      </c>
      <c r="D62" s="128"/>
      <c r="E62" s="27"/>
      <c r="F62" s="38" t="s">
        <v>14</v>
      </c>
      <c r="G62" s="27"/>
      <c r="H62" s="149" t="s">
        <v>134</v>
      </c>
      <c r="I62" s="255"/>
      <c r="J62" s="253"/>
      <c r="K62" s="24"/>
      <c r="L62" s="37"/>
      <c r="M62" s="160"/>
    </row>
    <row r="63" spans="1:13" s="3" customFormat="1" ht="12.75">
      <c r="A63" s="36"/>
      <c r="B63" s="23"/>
      <c r="C63" s="34" t="s">
        <v>47</v>
      </c>
      <c r="D63" s="128"/>
      <c r="E63" s="27"/>
      <c r="F63" s="38" t="s">
        <v>43</v>
      </c>
      <c r="G63" s="27"/>
      <c r="H63" s="148">
        <v>10</v>
      </c>
      <c r="I63" s="254"/>
      <c r="J63" s="253"/>
      <c r="K63" s="24"/>
      <c r="L63" s="49">
        <f>IF(H62="assente",6,IF(H62="duro",IF(H63&lt;5,4,IF(H63=5,3,2)),IF(H63&lt;5,2,IF(H63=5,1,0))))</f>
        <v>2</v>
      </c>
      <c r="M63" s="160"/>
    </row>
    <row r="64" spans="1:13" s="3" customFormat="1" ht="12.75">
      <c r="A64" s="54"/>
      <c r="B64" s="55" t="s">
        <v>48</v>
      </c>
      <c r="C64" s="56"/>
      <c r="D64" s="129"/>
      <c r="E64" s="57"/>
      <c r="F64" s="58" t="s">
        <v>14</v>
      </c>
      <c r="G64" s="27"/>
      <c r="H64" s="150" t="s">
        <v>141</v>
      </c>
      <c r="I64" s="256"/>
      <c r="J64" s="257"/>
      <c r="K64" s="24"/>
      <c r="L64" s="50">
        <f>IF(H64="inalterate",6,IF(H64="debolmente alterate",5,IF(H64="moderatamente alterate",3,IF(H64="fortemente alterate",1,IF(H64="decomposte",0,"errore")))))</f>
        <v>5</v>
      </c>
      <c r="M64" s="160"/>
    </row>
    <row r="65" spans="1:13" s="3" customFormat="1" ht="12.75">
      <c r="A65" s="45" t="s">
        <v>49</v>
      </c>
      <c r="B65" s="43"/>
      <c r="C65" s="46"/>
      <c r="D65" s="131"/>
      <c r="E65" s="41"/>
      <c r="F65" s="47" t="s">
        <v>14</v>
      </c>
      <c r="G65" s="27"/>
      <c r="H65" s="151" t="s">
        <v>50</v>
      </c>
      <c r="I65" s="258"/>
      <c r="J65" s="246"/>
      <c r="K65" s="24"/>
      <c r="L65" s="44">
        <f>IF(H65="asciutto",15,IF(H65="umido",10,IF(H65="bagnato",7,IF(H65="stillicidio",4,IF(H65="venute d'acqua",0,"errore")))))</f>
        <v>10</v>
      </c>
      <c r="M65" s="160"/>
    </row>
    <row r="66" spans="1:13" s="3" customFormat="1" ht="12" customHeight="1">
      <c r="A66" s="25"/>
      <c r="B66" s="23"/>
      <c r="C66" s="26"/>
      <c r="D66" s="2"/>
      <c r="E66" s="27"/>
      <c r="F66" s="27"/>
      <c r="G66" s="27"/>
      <c r="M66" s="160"/>
    </row>
    <row r="67" spans="1:13" s="3" customFormat="1" ht="12" customHeight="1">
      <c r="A67" s="25"/>
      <c r="B67" s="23"/>
      <c r="C67" s="26"/>
      <c r="D67" s="2"/>
      <c r="E67" s="27"/>
      <c r="F67" s="27"/>
      <c r="G67" s="27"/>
      <c r="H67" s="76" t="s">
        <v>99</v>
      </c>
      <c r="I67" s="130"/>
      <c r="J67" s="52"/>
      <c r="K67" s="205" t="s">
        <v>97</v>
      </c>
      <c r="L67" s="51">
        <f>SUM(L53:L64)+15</f>
        <v>42</v>
      </c>
      <c r="M67" s="160"/>
    </row>
    <row r="68" spans="1:13" s="3" customFormat="1" ht="3.75" customHeight="1">
      <c r="A68" s="206"/>
      <c r="B68" s="23"/>
      <c r="C68" s="26"/>
      <c r="D68" s="128"/>
      <c r="E68" s="27"/>
      <c r="F68" s="27"/>
      <c r="G68" s="27"/>
      <c r="H68" s="259"/>
      <c r="I68" s="259"/>
      <c r="J68" s="24"/>
      <c r="K68" s="24"/>
      <c r="L68" s="23"/>
      <c r="M68" s="160"/>
    </row>
    <row r="69" spans="1:7" s="3" customFormat="1" ht="4.5" customHeight="1">
      <c r="A69" s="25"/>
      <c r="B69" s="23"/>
      <c r="C69" s="26"/>
      <c r="D69" s="2"/>
      <c r="E69" s="27"/>
      <c r="F69" s="27"/>
      <c r="G69" s="27"/>
    </row>
    <row r="70" spans="1:11" s="3" customFormat="1" ht="12.75">
      <c r="A70" s="333" t="s">
        <v>98</v>
      </c>
      <c r="B70" s="334"/>
      <c r="C70" s="334"/>
      <c r="D70" s="334"/>
      <c r="E70" s="335"/>
      <c r="F70" s="27"/>
      <c r="G70" s="27"/>
      <c r="H70" s="123"/>
      <c r="I70" s="24"/>
      <c r="J70" s="23"/>
      <c r="K70" s="23"/>
    </row>
    <row r="71" spans="1:12" s="3" customFormat="1" ht="12.75">
      <c r="A71" s="9" t="s">
        <v>97</v>
      </c>
      <c r="B71" s="28" t="s">
        <v>27</v>
      </c>
      <c r="C71" s="31" t="s">
        <v>28</v>
      </c>
      <c r="D71" s="59"/>
      <c r="E71" s="124"/>
      <c r="G71" s="211" t="s">
        <v>104</v>
      </c>
      <c r="H71" s="212"/>
      <c r="I71" s="212"/>
      <c r="J71" s="170"/>
      <c r="K71" s="170"/>
      <c r="L71" s="124"/>
    </row>
    <row r="72" spans="1:12" s="3" customFormat="1" ht="10.5" customHeight="1">
      <c r="A72" s="10" t="s">
        <v>14</v>
      </c>
      <c r="B72" s="29"/>
      <c r="C72" s="29"/>
      <c r="D72" s="61"/>
      <c r="E72" s="125"/>
      <c r="G72" s="260"/>
      <c r="H72" s="217"/>
      <c r="I72" s="217"/>
      <c r="J72" s="217"/>
      <c r="K72" s="217"/>
      <c r="L72" s="125"/>
    </row>
    <row r="73" spans="1:12" s="3" customFormat="1" ht="12" customHeight="1">
      <c r="A73" s="119"/>
      <c r="B73" s="18"/>
      <c r="C73" s="18"/>
      <c r="D73" s="24"/>
      <c r="E73" s="7"/>
      <c r="G73" s="208" t="s">
        <v>91</v>
      </c>
      <c r="H73" s="80"/>
      <c r="I73" s="209"/>
      <c r="J73" s="213"/>
      <c r="K73" s="290" t="s">
        <v>51</v>
      </c>
      <c r="L73" s="214">
        <f>IF(A48&gt;0.1,L67-5,9*LN(A48)+44)</f>
        <v>37</v>
      </c>
    </row>
    <row r="74" spans="1:13" s="3" customFormat="1" ht="12" customHeight="1">
      <c r="A74" s="132">
        <f>L67</f>
        <v>42</v>
      </c>
      <c r="B74" s="30" t="str">
        <f>IF(A74&gt;80,"I",IF(A74&gt;60,"II",IF(A74&gt;40,"III",IF(A74&gt;20,"IV","V"))))</f>
        <v>III</v>
      </c>
      <c r="C74" s="62" t="str">
        <f>IF(A74&gt;80,"molto buona",IF(A74&gt;60,"buona",IF(A74&gt;40,"discreta",IF(A74&gt;20,"scadente","molto scadente"))))</f>
        <v>discreta</v>
      </c>
      <c r="D74" s="63"/>
      <c r="E74" s="126"/>
      <c r="G74" s="210" t="s">
        <v>92</v>
      </c>
      <c r="H74" s="217"/>
      <c r="I74" s="219"/>
      <c r="J74" s="220"/>
      <c r="K74" s="221" t="s">
        <v>85</v>
      </c>
      <c r="L74" s="132">
        <f>ROUND((1.0958*L73-0.0055*L73^2),0)</f>
        <v>33</v>
      </c>
      <c r="M74" s="207">
        <f>1.154*L73-0.006*L73^2-1.027</f>
        <v>33.456999999999994</v>
      </c>
    </row>
    <row r="75" spans="1:11" s="3" customFormat="1" ht="10.5" customHeight="1">
      <c r="A75" s="186"/>
      <c r="B75" s="24"/>
      <c r="C75" s="64"/>
      <c r="D75" s="64"/>
      <c r="E75" s="21"/>
      <c r="J75" s="48"/>
      <c r="K75" s="48"/>
    </row>
    <row r="76" spans="10:12" s="3" customFormat="1" ht="10.5" customHeight="1">
      <c r="J76" s="48"/>
      <c r="K76" s="48"/>
      <c r="L76" s="48"/>
    </row>
    <row r="77" spans="10:20" s="3" customFormat="1" ht="10.5" customHeight="1">
      <c r="J77" s="48"/>
      <c r="K77" s="48"/>
      <c r="L77" s="48"/>
      <c r="O77" s="152" t="s">
        <v>52</v>
      </c>
      <c r="P77" s="66"/>
      <c r="Q77" s="66"/>
      <c r="R77" s="152" t="s">
        <v>53</v>
      </c>
      <c r="S77" s="66"/>
      <c r="T77" s="67"/>
    </row>
    <row r="78" spans="10:20" s="3" customFormat="1" ht="10.5" customHeight="1">
      <c r="J78" s="48"/>
      <c r="K78" s="48"/>
      <c r="L78" s="48"/>
      <c r="O78" s="68" t="s">
        <v>54</v>
      </c>
      <c r="P78" s="16"/>
      <c r="Q78" s="16"/>
      <c r="R78" s="68" t="s">
        <v>55</v>
      </c>
      <c r="S78" s="16"/>
      <c r="T78" s="69"/>
    </row>
    <row r="79" spans="10:20" s="3" customFormat="1" ht="10.5" customHeight="1">
      <c r="J79" s="48"/>
      <c r="K79" s="48"/>
      <c r="L79" s="48"/>
      <c r="O79" s="70"/>
      <c r="P79" s="16"/>
      <c r="Q79" s="2"/>
      <c r="R79" s="68"/>
      <c r="S79" s="16"/>
      <c r="T79" s="69"/>
    </row>
    <row r="80" spans="10:20" s="3" customFormat="1" ht="10.5" customHeight="1">
      <c r="J80" s="48"/>
      <c r="K80" s="48"/>
      <c r="L80" s="48"/>
      <c r="O80" s="60" t="s">
        <v>29</v>
      </c>
      <c r="P80" s="22" t="s">
        <v>51</v>
      </c>
      <c r="Q80" s="22"/>
      <c r="R80" s="60" t="s">
        <v>51</v>
      </c>
      <c r="S80" s="22"/>
      <c r="T80" s="69"/>
    </row>
    <row r="81" spans="10:20" s="3" customFormat="1" ht="10.5" customHeight="1">
      <c r="J81" s="48"/>
      <c r="K81" s="48"/>
      <c r="L81" s="48"/>
      <c r="O81" s="60" t="s">
        <v>14</v>
      </c>
      <c r="P81" s="22" t="s">
        <v>14</v>
      </c>
      <c r="Q81" s="22"/>
      <c r="R81" s="60" t="s">
        <v>14</v>
      </c>
      <c r="S81" s="22"/>
      <c r="T81" s="69"/>
    </row>
    <row r="82" spans="10:20" s="3" customFormat="1" ht="10.5" customHeight="1">
      <c r="J82" s="48"/>
      <c r="K82" s="48"/>
      <c r="L82" s="48"/>
      <c r="O82" s="60">
        <v>0.001</v>
      </c>
      <c r="P82" s="24">
        <f aca="true" t="shared" si="0" ref="P82:P88">9*LN(O82)+44</f>
        <v>-18.16979751083923</v>
      </c>
      <c r="Q82" s="22"/>
      <c r="R82" s="18">
        <f aca="true" t="shared" si="1" ref="R82:R88">10*LN(O82)+32</f>
        <v>-37.07755278982137</v>
      </c>
      <c r="S82" s="24"/>
      <c r="T82" s="69"/>
    </row>
    <row r="83" spans="10:20" s="3" customFormat="1" ht="10.5" customHeight="1">
      <c r="J83" s="48"/>
      <c r="K83" s="48"/>
      <c r="L83" s="48"/>
      <c r="O83" s="60">
        <v>0.01</v>
      </c>
      <c r="P83" s="24">
        <f t="shared" si="0"/>
        <v>2.553468326107179</v>
      </c>
      <c r="Q83" s="22"/>
      <c r="R83" s="18">
        <f t="shared" si="1"/>
        <v>-14.051701859880907</v>
      </c>
      <c r="S83" s="24"/>
      <c r="T83" s="7"/>
    </row>
    <row r="84" spans="10:20" s="3" customFormat="1" ht="10.5" customHeight="1">
      <c r="J84" s="48"/>
      <c r="K84" s="48"/>
      <c r="L84" s="48"/>
      <c r="O84" s="60">
        <v>0.1</v>
      </c>
      <c r="P84" s="24">
        <f t="shared" si="0"/>
        <v>23.27673416305359</v>
      </c>
      <c r="Q84" s="22"/>
      <c r="R84" s="18">
        <f t="shared" si="1"/>
        <v>8.974149070059546</v>
      </c>
      <c r="S84" s="24"/>
      <c r="T84" s="7"/>
    </row>
    <row r="85" spans="10:20" s="3" customFormat="1" ht="10.5" customHeight="1">
      <c r="J85" s="48"/>
      <c r="K85" s="48"/>
      <c r="L85" s="48"/>
      <c r="O85" s="60">
        <v>1</v>
      </c>
      <c r="P85" s="24">
        <f t="shared" si="0"/>
        <v>44</v>
      </c>
      <c r="Q85" s="22"/>
      <c r="R85" s="18">
        <f t="shared" si="1"/>
        <v>32</v>
      </c>
      <c r="S85" s="24"/>
      <c r="T85" s="7"/>
    </row>
    <row r="86" spans="10:20" s="3" customFormat="1" ht="10.5" customHeight="1">
      <c r="J86" s="48"/>
      <c r="K86" s="48"/>
      <c r="L86" s="48"/>
      <c r="O86" s="60">
        <v>10</v>
      </c>
      <c r="P86" s="24">
        <f t="shared" si="0"/>
        <v>64.72326583694641</v>
      </c>
      <c r="Q86" s="22"/>
      <c r="R86" s="18">
        <f t="shared" si="1"/>
        <v>55.02585092994046</v>
      </c>
      <c r="S86" s="24"/>
      <c r="T86" s="7"/>
    </row>
    <row r="87" spans="10:20" s="3" customFormat="1" ht="10.5" customHeight="1">
      <c r="J87" s="48"/>
      <c r="K87" s="48"/>
      <c r="L87" s="48"/>
      <c r="O87" s="60">
        <v>100</v>
      </c>
      <c r="P87" s="24">
        <f t="shared" si="0"/>
        <v>85.44653167389282</v>
      </c>
      <c r="Q87" s="22"/>
      <c r="R87" s="18">
        <f t="shared" si="1"/>
        <v>78.05170185988092</v>
      </c>
      <c r="S87" s="24"/>
      <c r="T87" s="7"/>
    </row>
    <row r="88" spans="10:20" s="3" customFormat="1" ht="10.5" customHeight="1">
      <c r="J88" s="48"/>
      <c r="K88" s="48"/>
      <c r="L88" s="48"/>
      <c r="O88" s="29">
        <v>1000</v>
      </c>
      <c r="P88" s="133">
        <f t="shared" si="0"/>
        <v>106.16979751083923</v>
      </c>
      <c r="Q88" s="61"/>
      <c r="R88" s="30">
        <f t="shared" si="1"/>
        <v>101.07755278982137</v>
      </c>
      <c r="S88" s="133"/>
      <c r="T88" s="125"/>
    </row>
    <row r="89" spans="10:12" s="3" customFormat="1" ht="10.5" customHeight="1">
      <c r="J89" s="48"/>
      <c r="K89" s="48"/>
      <c r="L89" s="48"/>
    </row>
    <row r="90" spans="10:16" s="3" customFormat="1" ht="10.5" customHeight="1">
      <c r="J90" s="48"/>
      <c r="K90" s="48"/>
      <c r="L90" s="48"/>
      <c r="O90" s="71" t="s">
        <v>29</v>
      </c>
      <c r="P90" s="72" t="s">
        <v>51</v>
      </c>
    </row>
    <row r="91" spans="10:16" s="3" customFormat="1" ht="10.5" customHeight="1">
      <c r="J91" s="48"/>
      <c r="K91" s="48"/>
      <c r="L91" s="48"/>
      <c r="O91" s="60" t="s">
        <v>14</v>
      </c>
      <c r="P91" s="73" t="s">
        <v>14</v>
      </c>
    </row>
    <row r="92" spans="10:16" s="3" customFormat="1" ht="10.5" customHeight="1">
      <c r="J92" s="48"/>
      <c r="K92" s="48"/>
      <c r="O92" s="74">
        <f>A48</f>
        <v>0.5555555555555556</v>
      </c>
      <c r="P92" s="75">
        <f>L73</f>
        <v>37</v>
      </c>
    </row>
    <row r="93" spans="10:11" s="3" customFormat="1" ht="10.5" customHeight="1">
      <c r="J93" s="48"/>
      <c r="K93" s="48"/>
    </row>
    <row r="94" spans="10:11" s="3" customFormat="1" ht="10.5" customHeight="1">
      <c r="J94" s="48"/>
      <c r="K94" s="48"/>
    </row>
    <row r="95" spans="10:11" s="3" customFormat="1" ht="10.5" customHeight="1">
      <c r="J95" s="48"/>
      <c r="K95" s="48"/>
    </row>
    <row r="96" spans="10:11" s="3" customFormat="1" ht="10.5" customHeight="1">
      <c r="J96" s="48"/>
      <c r="K96" s="48"/>
    </row>
    <row r="97" spans="10:11" s="3" customFormat="1" ht="10.5" customHeight="1">
      <c r="J97" s="48"/>
      <c r="K97" s="48"/>
    </row>
    <row r="98" spans="10:11" s="3" customFormat="1" ht="10.5" customHeight="1">
      <c r="J98" s="48"/>
      <c r="K98" s="48"/>
    </row>
    <row r="99" spans="10:11" s="3" customFormat="1" ht="10.5" customHeight="1">
      <c r="J99" s="48"/>
      <c r="K99" s="48"/>
    </row>
    <row r="100" spans="10:11" s="3" customFormat="1" ht="10.5" customHeight="1">
      <c r="J100" s="48"/>
      <c r="K100" s="48"/>
    </row>
    <row r="101" spans="10:11" s="3" customFormat="1" ht="10.5" customHeight="1">
      <c r="J101" s="48"/>
      <c r="K101" s="48"/>
    </row>
    <row r="102" spans="10:11" s="3" customFormat="1" ht="10.5" customHeight="1">
      <c r="J102" s="48"/>
      <c r="K102" s="48"/>
    </row>
    <row r="103" spans="10:11" s="3" customFormat="1" ht="10.5" customHeight="1">
      <c r="J103" s="48"/>
      <c r="K103" s="48"/>
    </row>
    <row r="104" spans="10:11" s="3" customFormat="1" ht="10.5" customHeight="1">
      <c r="J104" s="48"/>
      <c r="K104" s="48"/>
    </row>
    <row r="105" spans="10:11" s="3" customFormat="1" ht="10.5" customHeight="1">
      <c r="J105" s="48"/>
      <c r="K105" s="48"/>
    </row>
    <row r="106" spans="1:11" s="3" customFormat="1" ht="10.5" customHeight="1">
      <c r="A106" s="76" t="s">
        <v>56</v>
      </c>
      <c r="B106" s="76"/>
      <c r="C106" s="76"/>
      <c r="J106" s="48"/>
      <c r="K106" s="48"/>
    </row>
    <row r="107" spans="1:11" s="3" customFormat="1" ht="10.5" customHeight="1">
      <c r="A107" s="76"/>
      <c r="B107" s="76"/>
      <c r="C107" s="76"/>
      <c r="J107" s="48"/>
      <c r="K107" s="48"/>
    </row>
    <row r="108" spans="10:11" s="3" customFormat="1" ht="10.5" customHeight="1">
      <c r="J108" s="48"/>
      <c r="K108" s="48"/>
    </row>
    <row r="109" spans="1:11" s="3" customFormat="1" ht="10.5" customHeight="1">
      <c r="A109" s="76" t="s">
        <v>57</v>
      </c>
      <c r="J109" s="48"/>
      <c r="K109" s="48"/>
    </row>
    <row r="110" spans="1:11" s="3" customFormat="1" ht="2.25" customHeight="1">
      <c r="A110" s="79"/>
      <c r="J110" s="48"/>
      <c r="K110" s="48"/>
    </row>
    <row r="111" spans="1:11" s="3" customFormat="1" ht="15.75">
      <c r="A111" s="238" t="s">
        <v>128</v>
      </c>
      <c r="B111" s="239"/>
      <c r="C111" s="239"/>
      <c r="D111" s="239"/>
      <c r="J111" s="48"/>
      <c r="K111" s="48"/>
    </row>
    <row r="112" spans="1:11" s="3" customFormat="1" ht="7.5" customHeight="1">
      <c r="A112" s="79"/>
      <c r="J112" s="48"/>
      <c r="K112" s="48"/>
    </row>
    <row r="113" spans="1:11" s="3" customFormat="1" ht="12.75">
      <c r="A113" s="86" t="s">
        <v>58</v>
      </c>
      <c r="B113" s="169"/>
      <c r="C113" s="165"/>
      <c r="D113" s="165"/>
      <c r="E113" s="165"/>
      <c r="F113" s="165"/>
      <c r="G113" s="165"/>
      <c r="H113" s="165"/>
      <c r="I113" s="165"/>
      <c r="J113" s="87"/>
      <c r="K113" s="48"/>
    </row>
    <row r="114" spans="1:11" s="3" customFormat="1" ht="14.25">
      <c r="A114" s="65" t="s">
        <v>59</v>
      </c>
      <c r="B114" s="66"/>
      <c r="C114" s="66"/>
      <c r="D114" s="66"/>
      <c r="E114" s="66"/>
      <c r="F114" s="66"/>
      <c r="G114" s="66"/>
      <c r="H114" s="5"/>
      <c r="I114" s="234" t="s">
        <v>121</v>
      </c>
      <c r="J114" s="233">
        <f>G28</f>
        <v>73</v>
      </c>
      <c r="K114" s="48"/>
    </row>
    <row r="115" spans="1:11" s="3" customFormat="1" ht="14.25">
      <c r="A115" s="68" t="s">
        <v>86</v>
      </c>
      <c r="B115" s="16"/>
      <c r="C115" s="16"/>
      <c r="D115" s="16"/>
      <c r="E115" s="16"/>
      <c r="F115" s="16"/>
      <c r="G115" s="16"/>
      <c r="H115" s="7"/>
      <c r="I115" s="235" t="s">
        <v>122</v>
      </c>
      <c r="J115" s="236">
        <f>J114/2*((J116^2+4)^0.5-J116)</f>
        <v>8.986710670089224</v>
      </c>
      <c r="K115" s="48"/>
    </row>
    <row r="116" spans="1:11" s="3" customFormat="1" ht="14.25">
      <c r="A116" s="216" t="s">
        <v>60</v>
      </c>
      <c r="B116" s="284"/>
      <c r="C116" s="284"/>
      <c r="D116" s="284"/>
      <c r="E116" s="284"/>
      <c r="F116" s="284"/>
      <c r="G116" s="284"/>
      <c r="H116" s="125"/>
      <c r="I116" s="232" t="s">
        <v>61</v>
      </c>
      <c r="J116" s="81">
        <f>G29</f>
        <v>8</v>
      </c>
      <c r="K116" s="48"/>
    </row>
    <row r="117" spans="1:11" s="3" customFormat="1" ht="12.75">
      <c r="A117" s="16"/>
      <c r="B117" s="16"/>
      <c r="C117" s="16"/>
      <c r="D117" s="16"/>
      <c r="E117" s="16"/>
      <c r="F117" s="16"/>
      <c r="G117" s="16"/>
      <c r="H117" s="2"/>
      <c r="I117" s="11"/>
      <c r="J117" s="22"/>
      <c r="K117" s="48"/>
    </row>
    <row r="118" spans="1:11" s="3" customFormat="1" ht="12.75">
      <c r="A118" s="311" t="s">
        <v>118</v>
      </c>
      <c r="B118" s="312"/>
      <c r="C118" s="312"/>
      <c r="D118" s="312"/>
      <c r="E118" s="312"/>
      <c r="F118" s="312"/>
      <c r="G118" s="312"/>
      <c r="H118" s="313"/>
      <c r="I118" s="314" t="s">
        <v>119</v>
      </c>
      <c r="J118" s="315">
        <v>0</v>
      </c>
      <c r="K118" s="48"/>
    </row>
    <row r="119" spans="1:11" s="3" customFormat="1" ht="12.75">
      <c r="A119" s="16"/>
      <c r="B119" s="16"/>
      <c r="C119" s="16"/>
      <c r="D119" s="16"/>
      <c r="E119" s="16"/>
      <c r="F119" s="16"/>
      <c r="G119" s="16"/>
      <c r="H119" s="2"/>
      <c r="I119" s="11"/>
      <c r="J119" s="22"/>
      <c r="K119" s="48"/>
    </row>
    <row r="120" spans="1:11" s="3" customFormat="1" ht="12.75">
      <c r="A120" s="86" t="s">
        <v>89</v>
      </c>
      <c r="B120" s="164"/>
      <c r="C120" s="164"/>
      <c r="D120" s="164"/>
      <c r="E120" s="164"/>
      <c r="F120" s="164"/>
      <c r="G120" s="164"/>
      <c r="H120" s="165"/>
      <c r="I120" s="166"/>
      <c r="J120" s="168"/>
      <c r="K120" s="48"/>
    </row>
    <row r="121" spans="1:11" s="3" customFormat="1" ht="14.25">
      <c r="A121" s="65" t="s">
        <v>62</v>
      </c>
      <c r="B121" s="80"/>
      <c r="C121" s="80"/>
      <c r="D121" s="80"/>
      <c r="E121" s="80"/>
      <c r="F121" s="80"/>
      <c r="G121" s="80"/>
      <c r="H121" s="5"/>
      <c r="I121" s="9" t="s">
        <v>125</v>
      </c>
      <c r="J121" s="83">
        <f>$J$116*EXP(($L$73-100)/(28-14*$J$118))</f>
        <v>0.8431937964949147</v>
      </c>
      <c r="K121" s="48"/>
    </row>
    <row r="122" spans="1:11" s="3" customFormat="1" ht="12.75">
      <c r="A122" s="68"/>
      <c r="B122" s="2"/>
      <c r="C122" s="2"/>
      <c r="D122" s="2"/>
      <c r="E122" s="2"/>
      <c r="F122" s="2"/>
      <c r="G122" s="2"/>
      <c r="H122" s="7"/>
      <c r="I122" s="162" t="s">
        <v>63</v>
      </c>
      <c r="J122" s="240">
        <f>EXP(($L$73-100)/(9-3*$J$118))</f>
        <v>0.0009118819655545162</v>
      </c>
      <c r="K122" s="48"/>
    </row>
    <row r="123" spans="1:11" s="3" customFormat="1" ht="12.75">
      <c r="A123" s="68"/>
      <c r="B123" s="2"/>
      <c r="C123" s="2"/>
      <c r="D123" s="2"/>
      <c r="E123" s="2"/>
      <c r="F123" s="2"/>
      <c r="G123" s="2"/>
      <c r="H123" s="7"/>
      <c r="I123" s="162" t="s">
        <v>84</v>
      </c>
      <c r="J123" s="301">
        <f>0.5+(2.718^(-$L$73/15)-2.718^(-20/3))/6</f>
        <v>0.5139359121918643</v>
      </c>
      <c r="K123" s="48"/>
    </row>
    <row r="124" spans="1:11" s="3" customFormat="1" ht="14.25">
      <c r="A124" s="65" t="s">
        <v>88</v>
      </c>
      <c r="B124" s="66"/>
      <c r="C124" s="66"/>
      <c r="D124" s="66"/>
      <c r="E124" s="66"/>
      <c r="F124" s="66"/>
      <c r="G124" s="66"/>
      <c r="H124" s="5"/>
      <c r="I124" s="234" t="s">
        <v>87</v>
      </c>
      <c r="J124" s="231">
        <f>$J$114*J122/J121</f>
        <v>0.0789467187284758</v>
      </c>
      <c r="K124" s="48"/>
    </row>
    <row r="125" spans="1:11" s="3" customFormat="1" ht="14.25">
      <c r="A125" s="68" t="s">
        <v>64</v>
      </c>
      <c r="B125" s="2"/>
      <c r="C125" s="2"/>
      <c r="D125" s="2"/>
      <c r="E125" s="2"/>
      <c r="F125" s="2"/>
      <c r="G125" s="2"/>
      <c r="H125" s="7"/>
      <c r="I125" s="235" t="s">
        <v>126</v>
      </c>
      <c r="J125" s="119">
        <f>$J$114*J122^J123</f>
        <v>1.9995218076668821</v>
      </c>
      <c r="K125" s="48"/>
    </row>
    <row r="126" spans="1:11" s="3" customFormat="1" ht="14.25">
      <c r="A126" s="216" t="s">
        <v>100</v>
      </c>
      <c r="B126" s="217"/>
      <c r="C126" s="217"/>
      <c r="D126" s="217"/>
      <c r="E126" s="217"/>
      <c r="F126" s="217"/>
      <c r="G126" s="217"/>
      <c r="H126" s="125"/>
      <c r="I126" s="268" t="s">
        <v>101</v>
      </c>
      <c r="J126" s="118">
        <f>($J$114*((J121+4*J122-J123*(J121-8*J122))*(J121/(4+J122))^(J123-1))/(2*(1+J123)*(2+J123)))</f>
        <v>8.529273854340456</v>
      </c>
      <c r="K126" s="48"/>
    </row>
    <row r="127" spans="1:11" s="3" customFormat="1" ht="12.75">
      <c r="A127" s="16"/>
      <c r="B127" s="2"/>
      <c r="C127" s="2"/>
      <c r="D127" s="2"/>
      <c r="E127" s="2"/>
      <c r="F127" s="2"/>
      <c r="G127" s="2"/>
      <c r="H127" s="2"/>
      <c r="I127" s="11"/>
      <c r="J127" s="24"/>
      <c r="K127" s="48"/>
    </row>
    <row r="128" spans="1:11" s="3" customFormat="1" ht="12.75">
      <c r="A128" s="86" t="s">
        <v>90</v>
      </c>
      <c r="B128" s="164"/>
      <c r="C128" s="164"/>
      <c r="D128" s="164"/>
      <c r="E128" s="164"/>
      <c r="F128" s="165"/>
      <c r="G128" s="165"/>
      <c r="H128" s="165"/>
      <c r="I128" s="166"/>
      <c r="J128" s="167"/>
      <c r="K128" s="48"/>
    </row>
    <row r="129" spans="1:11" s="3" customFormat="1" ht="14.25">
      <c r="A129" s="65" t="s">
        <v>65</v>
      </c>
      <c r="B129" s="80"/>
      <c r="C129" s="80"/>
      <c r="D129" s="80"/>
      <c r="E129" s="80"/>
      <c r="F129" s="80"/>
      <c r="G129" s="80"/>
      <c r="H129" s="5"/>
      <c r="I129" s="9" t="s">
        <v>125</v>
      </c>
      <c r="J129" s="83">
        <f>$J$116*EXP(($L$74-100)/(28-14*$J$118))</f>
        <v>0.7309460673878938</v>
      </c>
      <c r="K129" s="48"/>
    </row>
    <row r="130" spans="1:11" s="3" customFormat="1" ht="12.75">
      <c r="A130" s="68"/>
      <c r="B130" s="2"/>
      <c r="C130" s="2"/>
      <c r="D130" s="2"/>
      <c r="E130" s="2"/>
      <c r="F130" s="2"/>
      <c r="G130" s="2"/>
      <c r="H130" s="7"/>
      <c r="I130" s="162" t="s">
        <v>63</v>
      </c>
      <c r="J130" s="240">
        <f>EXP(($L$74-100)/(9-3*$J$118))</f>
        <v>0.000584680832876515</v>
      </c>
      <c r="K130" s="48"/>
    </row>
    <row r="131" spans="1:11" s="3" customFormat="1" ht="12.75">
      <c r="A131" s="68"/>
      <c r="B131" s="2"/>
      <c r="C131" s="2"/>
      <c r="D131" s="2"/>
      <c r="E131" s="2"/>
      <c r="F131" s="2"/>
      <c r="G131" s="2"/>
      <c r="H131" s="7"/>
      <c r="I131" s="162" t="s">
        <v>84</v>
      </c>
      <c r="J131" s="301">
        <f>0.5+(2.718^(-$L$74/15)-2.718^(-20/3))/6</f>
        <v>0.518259153709567</v>
      </c>
      <c r="K131" s="48"/>
    </row>
    <row r="132" spans="1:11" s="3" customFormat="1" ht="14.25">
      <c r="A132" s="65" t="s">
        <v>88</v>
      </c>
      <c r="B132" s="66"/>
      <c r="C132" s="66"/>
      <c r="D132" s="66"/>
      <c r="E132" s="66"/>
      <c r="F132" s="66"/>
      <c r="G132" s="66"/>
      <c r="H132" s="5"/>
      <c r="I132" s="234" t="s">
        <v>87</v>
      </c>
      <c r="J132" s="231">
        <f>J114*J130/J129</f>
        <v>0.058392407736062885</v>
      </c>
      <c r="K132" s="48"/>
    </row>
    <row r="133" spans="1:11" s="3" customFormat="1" ht="14.25">
      <c r="A133" s="68" t="s">
        <v>64</v>
      </c>
      <c r="B133" s="2"/>
      <c r="C133" s="2"/>
      <c r="D133" s="2"/>
      <c r="E133" s="2"/>
      <c r="F133" s="2"/>
      <c r="G133" s="2"/>
      <c r="H133" s="267"/>
      <c r="I133" s="235" t="s">
        <v>126</v>
      </c>
      <c r="J133" s="119">
        <f>$J$114*J130^J131</f>
        <v>1.5408095552561474</v>
      </c>
      <c r="K133" s="48"/>
    </row>
    <row r="134" spans="1:11" s="3" customFormat="1" ht="14.25">
      <c r="A134" s="216" t="s">
        <v>100</v>
      </c>
      <c r="B134" s="217"/>
      <c r="C134" s="217"/>
      <c r="D134" s="217"/>
      <c r="E134" s="217"/>
      <c r="F134" s="217"/>
      <c r="G134" s="217"/>
      <c r="H134" s="237"/>
      <c r="I134" s="268" t="s">
        <v>101</v>
      </c>
      <c r="J134" s="118">
        <f>($J$114*((J129+4*J130-J131*(J129-8*J130))*(J129/(4+J130))^(J131-1))/(2*(1+J131)*(2+J131)))</f>
        <v>7.727156067879239</v>
      </c>
      <c r="K134" s="48"/>
    </row>
    <row r="135" spans="1:11" s="3" customFormat="1" ht="15.75" customHeight="1">
      <c r="A135" s="16"/>
      <c r="B135" s="2"/>
      <c r="C135" s="2"/>
      <c r="D135" s="2"/>
      <c r="E135" s="2"/>
      <c r="F135" s="2"/>
      <c r="G135" s="2"/>
      <c r="I135" s="84"/>
      <c r="J135" s="23"/>
      <c r="K135" s="48"/>
    </row>
    <row r="136" spans="1:11" s="3" customFormat="1" ht="12.75">
      <c r="A136" s="76" t="s">
        <v>66</v>
      </c>
      <c r="B136" s="2"/>
      <c r="C136" s="2"/>
      <c r="D136" s="2"/>
      <c r="E136" s="2"/>
      <c r="F136" s="2"/>
      <c r="G136" s="2"/>
      <c r="I136" s="2"/>
      <c r="J136" s="2"/>
      <c r="K136" s="48"/>
    </row>
    <row r="137" spans="1:11" s="3" customFormat="1" ht="12.75">
      <c r="A137" s="16" t="s">
        <v>102</v>
      </c>
      <c r="B137" s="2"/>
      <c r="C137" s="2"/>
      <c r="D137" s="2"/>
      <c r="E137" s="2"/>
      <c r="F137" s="2"/>
      <c r="G137" s="2"/>
      <c r="I137" s="2"/>
      <c r="J137" s="2"/>
      <c r="K137" s="48"/>
    </row>
    <row r="138" spans="1:11" s="3" customFormat="1" ht="5.25" customHeight="1">
      <c r="A138" s="2"/>
      <c r="B138" s="2"/>
      <c r="C138" s="2"/>
      <c r="D138" s="2"/>
      <c r="E138" s="2"/>
      <c r="F138" s="2"/>
      <c r="G138" s="2"/>
      <c r="I138" s="2"/>
      <c r="J138" s="2"/>
      <c r="K138" s="48"/>
    </row>
    <row r="139" spans="1:11" s="3" customFormat="1" ht="14.25">
      <c r="A139" s="65" t="s">
        <v>91</v>
      </c>
      <c r="B139" s="80"/>
      <c r="C139" s="80"/>
      <c r="D139" s="80"/>
      <c r="E139" s="80"/>
      <c r="F139" s="80"/>
      <c r="G139" s="80"/>
      <c r="H139" s="80"/>
      <c r="I139" s="28" t="s">
        <v>127</v>
      </c>
      <c r="J139" s="83">
        <f>IF(H53&lt;100,(1-$J$118/2)*(SQRT(H53/100))*10^((L73-10)/40),(1-$J$118/2)*10^((L73-10)/40))</f>
        <v>4.042606128668595</v>
      </c>
      <c r="K139" s="48"/>
    </row>
    <row r="140" spans="1:11" s="3" customFormat="1" ht="14.25">
      <c r="A140" s="216" t="s">
        <v>92</v>
      </c>
      <c r="B140" s="217"/>
      <c r="C140" s="217"/>
      <c r="D140" s="217"/>
      <c r="E140" s="217"/>
      <c r="F140" s="217"/>
      <c r="G140" s="217"/>
      <c r="H140" s="217"/>
      <c r="I140" s="218" t="s">
        <v>127</v>
      </c>
      <c r="J140" s="118">
        <f>IF(H53&lt;100,(1-$J$118/2)*(SQRT(H53/100))*10^((L74-10)/40),(1-$J$118/2)*10^((L74-10)/40))</f>
        <v>3.2111561898708865</v>
      </c>
      <c r="K140" s="48"/>
    </row>
    <row r="141" spans="1:11" s="3" customFormat="1" ht="12.75">
      <c r="A141" s="16"/>
      <c r="B141" s="2"/>
      <c r="C141" s="2"/>
      <c r="D141" s="2"/>
      <c r="E141" s="2"/>
      <c r="F141" s="2"/>
      <c r="G141" s="2"/>
      <c r="H141" s="2"/>
      <c r="I141" s="11"/>
      <c r="J141" s="82"/>
      <c r="K141" s="48"/>
    </row>
    <row r="142" spans="1:11" s="3" customFormat="1" ht="12.75">
      <c r="A142" s="76" t="s">
        <v>67</v>
      </c>
      <c r="J142" s="48"/>
      <c r="K142" s="48"/>
    </row>
    <row r="143" spans="1:16" s="3" customFormat="1" ht="13.5" thickBot="1">
      <c r="A143" s="76"/>
      <c r="J143" s="48"/>
      <c r="K143" s="48"/>
      <c r="N143" s="21"/>
      <c r="O143" s="88"/>
      <c r="P143" s="21"/>
    </row>
    <row r="144" spans="1:13" s="3" customFormat="1" ht="12.75">
      <c r="A144" s="94"/>
      <c r="B144" s="103"/>
      <c r="C144" s="318" t="s">
        <v>130</v>
      </c>
      <c r="D144" s="103" t="s">
        <v>95</v>
      </c>
      <c r="E144" s="95"/>
      <c r="F144" s="241" t="s">
        <v>93</v>
      </c>
      <c r="G144" s="222"/>
      <c r="H144" s="103" t="s">
        <v>95</v>
      </c>
      <c r="I144" s="95"/>
      <c r="J144" s="241" t="s">
        <v>93</v>
      </c>
      <c r="K144" s="96"/>
      <c r="L144" s="93"/>
      <c r="M144" s="88"/>
    </row>
    <row r="145" spans="1:13" s="3" customFormat="1" ht="12" customHeight="1">
      <c r="A145" s="97"/>
      <c r="B145" s="104" t="s">
        <v>114</v>
      </c>
      <c r="C145" s="319" t="s">
        <v>129</v>
      </c>
      <c r="D145" s="171" t="s">
        <v>96</v>
      </c>
      <c r="E145" s="172"/>
      <c r="F145" s="173" t="s">
        <v>94</v>
      </c>
      <c r="G145" s="223"/>
      <c r="H145" s="171" t="s">
        <v>96</v>
      </c>
      <c r="I145" s="172"/>
      <c r="J145" s="173" t="s">
        <v>94</v>
      </c>
      <c r="K145" s="174"/>
      <c r="L145" s="84"/>
      <c r="M145" s="88"/>
    </row>
    <row r="146" spans="1:21" s="3" customFormat="1" ht="14.25">
      <c r="A146" s="98" t="s">
        <v>68</v>
      </c>
      <c r="B146" s="105" t="s">
        <v>69</v>
      </c>
      <c r="C146" s="320" t="s">
        <v>69</v>
      </c>
      <c r="D146" s="108" t="s">
        <v>70</v>
      </c>
      <c r="E146" s="85" t="s">
        <v>71</v>
      </c>
      <c r="F146" s="92" t="s">
        <v>70</v>
      </c>
      <c r="G146" s="85" t="s">
        <v>71</v>
      </c>
      <c r="H146" s="224" t="s">
        <v>72</v>
      </c>
      <c r="I146" s="134" t="s">
        <v>73</v>
      </c>
      <c r="J146" s="135" t="s">
        <v>72</v>
      </c>
      <c r="K146" s="136" t="s">
        <v>73</v>
      </c>
      <c r="L146" s="22"/>
      <c r="M146" s="22"/>
      <c r="N146" s="336"/>
      <c r="O146" s="336"/>
      <c r="P146" s="71" t="s">
        <v>74</v>
      </c>
      <c r="Q146" s="72" t="s">
        <v>75</v>
      </c>
      <c r="R146" s="92" t="s">
        <v>68</v>
      </c>
      <c r="S146" s="134" t="s">
        <v>76</v>
      </c>
      <c r="T146" s="92" t="s">
        <v>69</v>
      </c>
      <c r="U146" s="134" t="s">
        <v>77</v>
      </c>
    </row>
    <row r="147" spans="1:31" s="3" customFormat="1" ht="12.75">
      <c r="A147" s="99" t="s">
        <v>34</v>
      </c>
      <c r="B147" s="104" t="s">
        <v>34</v>
      </c>
      <c r="C147" s="319" t="s">
        <v>34</v>
      </c>
      <c r="D147" s="104" t="s">
        <v>34</v>
      </c>
      <c r="E147" s="81" t="s">
        <v>34</v>
      </c>
      <c r="F147" s="29" t="s">
        <v>34</v>
      </c>
      <c r="G147" s="81" t="s">
        <v>34</v>
      </c>
      <c r="H147" s="104" t="s">
        <v>34</v>
      </c>
      <c r="I147" s="81" t="s">
        <v>78</v>
      </c>
      <c r="J147" s="29" t="s">
        <v>34</v>
      </c>
      <c r="K147" s="109" t="s">
        <v>78</v>
      </c>
      <c r="L147" s="22"/>
      <c r="M147" s="22"/>
      <c r="N147" s="22"/>
      <c r="O147" s="22"/>
      <c r="P147" s="29" t="s">
        <v>34</v>
      </c>
      <c r="Q147" s="81" t="s">
        <v>34</v>
      </c>
      <c r="R147" s="29" t="s">
        <v>34</v>
      </c>
      <c r="S147" s="81" t="s">
        <v>34</v>
      </c>
      <c r="T147" s="29" t="s">
        <v>34</v>
      </c>
      <c r="U147" s="81" t="s">
        <v>34</v>
      </c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s="3" customFormat="1" ht="12.75">
      <c r="A148" s="182"/>
      <c r="B148" s="22"/>
      <c r="C148" s="321"/>
      <c r="D148" s="106">
        <f>(T148+R148)/2-((T148-R148)/2*((1+$J$123*$J$121*($J$121*R148/$J$114+$J$122)^($J$123-1))-1)/((1+$J$123*$J$121*($J$121*R148/$J$114+$J$122)^($J$123-1))+1))</f>
        <v>0.0004725536502365735</v>
      </c>
      <c r="E148" s="231">
        <f>(T148-R148)*SQRT(1+$J$123*$J$121*($J$121*R148/$J$114+$J$122)^($J$123-1))/((1+$J$123*$J$121*($J$121*R148/$J$114+$J$122)^($J$123-1))+1)</f>
        <v>0.2402467914525843</v>
      </c>
      <c r="F148" s="82">
        <f>(U148+S148)/2-((U148-S148)/2*((1+$J$131*$J$129*($J$129*S148/$J$114+$J$130)^($J$131-1))-1)/((1+$J$131*$J$129*($J$129*S148/$J$114+$J$130)^($J$131-1))+1))</f>
        <v>0.00017694254139805077</v>
      </c>
      <c r="G148" s="82">
        <f>(U148-S148)*SQRT(1+$J$131*$J$129*($J$129*S148/$J$114+$J$130)^($J$131-1))/((1+$J$131*$J$129*($J$129*S148/$J$114+$J$130)^($J$131-1))+1)</f>
        <v>0.18072551798571396</v>
      </c>
      <c r="H148" s="225"/>
      <c r="I148" s="73"/>
      <c r="J148" s="22"/>
      <c r="K148" s="137"/>
      <c r="L148" s="113"/>
      <c r="M148" s="113"/>
      <c r="N148" s="82"/>
      <c r="O148" s="82"/>
      <c r="P148" s="176">
        <f>-J124</f>
        <v>-0.0789467187284758</v>
      </c>
      <c r="Q148" s="177">
        <f>-J132</f>
        <v>-0.058392407736062885</v>
      </c>
      <c r="R148" s="178">
        <f>P148*$Q$151</f>
        <v>-0.050368006548767566</v>
      </c>
      <c r="S148" s="179">
        <f>Q148*$Q$151</f>
        <v>-0.037254356135608124</v>
      </c>
      <c r="T148" s="180">
        <f>R148+$J$114*($J$121*R148/$J$114+$J$122)^$J$123</f>
        <v>1.1357574635201353</v>
      </c>
      <c r="U148" s="181">
        <f>S148+$J$114*($J$129*S148/$J$114+$J$130)^$J$131</f>
        <v>0.8727545448586943</v>
      </c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s="3" customFormat="1" ht="12.75">
      <c r="A149" s="183">
        <v>0</v>
      </c>
      <c r="B149" s="106">
        <f aca="true" t="shared" si="2" ref="B149:B180">A149+$J$114*($J$121*A149/$J$114+$J$122)^$J$123</f>
        <v>1.9995218076668821</v>
      </c>
      <c r="C149" s="322">
        <f aca="true" t="shared" si="3" ref="C149:C180">A149+$J$114*($J$129*A149/$J$114+$J$130)^$J$131</f>
        <v>1.5408095552561474</v>
      </c>
      <c r="D149" s="106">
        <f aca="true" t="shared" si="4" ref="D149:D180">(B149+A149)/2-((B149-A149)/2*((1+$J$123*$J$121*($J$121*A149/$J$114+$J$122)^($J$123-1))-1)/((1+$J$123*$J$121*($J$121*A149/$J$114+$J$122)^($J$123-1))+1))</f>
        <v>0.13315317506341307</v>
      </c>
      <c r="E149" s="82">
        <f aca="true" t="shared" si="5" ref="E149:E180">(B149-A149)*SQRT(1+$J$123*$J$121*($J$121*A149/$J$114+$J$122)^($J$123-1))/((1+$J$123*$J$121*($J$121*A149/$J$114+$J$122)^($J$123-1))+1)</f>
        <v>0.4985106912292981</v>
      </c>
      <c r="F149" s="89">
        <f aca="true" t="shared" si="6" ref="F149:F180">(C149+A149)/2-((C149-A149)/2*((1+$J$131*$J$129*($J$129*A149/$J$114+$J$130)^($J$131-1))-1)/((1+$J$131*$J$129*($J$129*A149/$J$114+$J$130)^($J$131-1))+1))</f>
        <v>0.09829484612275852</v>
      </c>
      <c r="G149" s="82">
        <f aca="true" t="shared" si="7" ref="G149:G180">(C149-A149)*SQRT(1+$J$131*$J$129*($J$129*A149/$J$114+$J$130)^($J$131-1))/((1+$J$131*$J$129*($J$129*A149/$J$114+$J$130)^($J$131-1))+1)</f>
        <v>0.376552468275116</v>
      </c>
      <c r="H149" s="106">
        <f aca="true" t="shared" si="8" ref="H149:H180">E149-D149*TAN(RADIANS(I149))</f>
        <v>0.2670380816134973</v>
      </c>
      <c r="I149" s="138">
        <f aca="true" t="shared" si="9" ref="I149:I180">90-DEGREES(ASIN(2*E149/(B149-A149)))</f>
        <v>60.09060298892224</v>
      </c>
      <c r="J149" s="139">
        <f aca="true" t="shared" si="10" ref="J149:J180">G149-F149*TAN(RADIANS(K149))</f>
        <v>0.201105623914971</v>
      </c>
      <c r="K149" s="140">
        <f aca="true" t="shared" si="11" ref="K149:K180">90-DEGREES(ASIN(2*G149/(C149-A149)))</f>
        <v>60.74008367704255</v>
      </c>
      <c r="L149" s="139"/>
      <c r="M149" s="139"/>
      <c r="N149" s="82"/>
      <c r="O149" s="82"/>
      <c r="R149" s="142"/>
      <c r="S149" s="142"/>
      <c r="T149" s="175"/>
      <c r="U149" s="175"/>
      <c r="V149" s="82"/>
      <c r="W149" s="82"/>
      <c r="X149" s="82"/>
      <c r="Y149" s="82"/>
      <c r="Z149" s="82"/>
      <c r="AA149" s="24"/>
      <c r="AB149" s="82"/>
      <c r="AC149" s="24"/>
      <c r="AD149" s="2"/>
      <c r="AE149" s="2"/>
    </row>
    <row r="150" spans="1:21" s="3" customFormat="1" ht="12.75">
      <c r="A150" s="262">
        <v>0.05</v>
      </c>
      <c r="B150" s="106">
        <f t="shared" si="2"/>
        <v>2.622963717345705</v>
      </c>
      <c r="C150" s="322">
        <f t="shared" si="3"/>
        <v>2.173124136134597</v>
      </c>
      <c r="D150" s="106">
        <f t="shared" si="4"/>
        <v>0.25995350765897784</v>
      </c>
      <c r="E150" s="90">
        <f t="shared" si="5"/>
        <v>0.7043594836145143</v>
      </c>
      <c r="F150" s="89">
        <f t="shared" si="6"/>
        <v>0.22472341307878319</v>
      </c>
      <c r="G150" s="82">
        <f t="shared" si="7"/>
        <v>0.5834648441658514</v>
      </c>
      <c r="H150" s="106">
        <f t="shared" si="8"/>
        <v>0.30705196174468957</v>
      </c>
      <c r="I150" s="138">
        <f t="shared" si="9"/>
        <v>56.80376132510924</v>
      </c>
      <c r="J150" s="110">
        <f t="shared" si="10"/>
        <v>0.24189600519983673</v>
      </c>
      <c r="K150" s="140">
        <f t="shared" si="11"/>
        <v>56.658464772452525</v>
      </c>
      <c r="L150" s="139"/>
      <c r="M150" s="139"/>
      <c r="N150" s="82"/>
      <c r="O150" s="82"/>
      <c r="R150" s="120"/>
      <c r="S150" s="120"/>
      <c r="T150" s="22"/>
      <c r="U150" s="2"/>
    </row>
    <row r="151" spans="1:40" s="16" customFormat="1" ht="15">
      <c r="A151" s="262">
        <v>0.1</v>
      </c>
      <c r="B151" s="106">
        <f t="shared" si="2"/>
        <v>3.1449043297933765</v>
      </c>
      <c r="C151" s="322">
        <f t="shared" si="3"/>
        <v>2.684348433755236</v>
      </c>
      <c r="D151" s="106">
        <f t="shared" si="4"/>
        <v>0.3833792152732891</v>
      </c>
      <c r="E151" s="90">
        <f t="shared" si="5"/>
        <v>0.8846235470018768</v>
      </c>
      <c r="F151" s="89">
        <f t="shared" si="6"/>
        <v>0.34716474991428803</v>
      </c>
      <c r="G151" s="82">
        <f t="shared" si="7"/>
        <v>0.7600456701543022</v>
      </c>
      <c r="H151" s="106">
        <f t="shared" si="8"/>
        <v>0.34763262391041794</v>
      </c>
      <c r="I151" s="138">
        <f t="shared" si="9"/>
        <v>54.47544640270437</v>
      </c>
      <c r="J151" s="110">
        <f t="shared" si="10"/>
        <v>0.2827184982453625</v>
      </c>
      <c r="K151" s="140">
        <f t="shared" si="11"/>
        <v>53.97123578766115</v>
      </c>
      <c r="L151" s="139"/>
      <c r="M151" s="139"/>
      <c r="N151" s="82"/>
      <c r="O151" s="82"/>
      <c r="P151" s="184" t="s">
        <v>79</v>
      </c>
      <c r="Q151" s="161">
        <v>0.638</v>
      </c>
      <c r="R151" s="185" t="s">
        <v>80</v>
      </c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18" s="16" customFormat="1" ht="15">
      <c r="A152" s="262">
        <v>0.15</v>
      </c>
      <c r="B152" s="106">
        <f t="shared" si="2"/>
        <v>3.605972558448144</v>
      </c>
      <c r="C152" s="322">
        <f t="shared" si="3"/>
        <v>3.129204847051003</v>
      </c>
      <c r="D152" s="106">
        <f t="shared" si="4"/>
        <v>0.5041713322909183</v>
      </c>
      <c r="E152" s="90">
        <f t="shared" si="5"/>
        <v>1.0481264583864434</v>
      </c>
      <c r="F152" s="89">
        <f t="shared" si="6"/>
        <v>0.4666301617850199</v>
      </c>
      <c r="G152" s="82">
        <f t="shared" si="7"/>
        <v>0.9181783341815832</v>
      </c>
      <c r="H152" s="106">
        <f t="shared" si="8"/>
        <v>0.3872919697859367</v>
      </c>
      <c r="I152" s="138">
        <f t="shared" si="9"/>
        <v>52.65885545525436</v>
      </c>
      <c r="J152" s="110">
        <f t="shared" si="10"/>
        <v>0.322058587190193</v>
      </c>
      <c r="K152" s="140">
        <f t="shared" si="11"/>
        <v>51.94689809630254</v>
      </c>
      <c r="L152" s="139"/>
      <c r="M152" s="139"/>
      <c r="N152" s="82"/>
      <c r="O152" s="82"/>
      <c r="R152" s="16" t="s">
        <v>81</v>
      </c>
    </row>
    <row r="153" spans="1:13" s="16" customFormat="1" ht="12.75">
      <c r="A153" s="262">
        <v>0.2</v>
      </c>
      <c r="B153" s="106">
        <f t="shared" si="2"/>
        <v>4.02524468099083</v>
      </c>
      <c r="C153" s="322">
        <f t="shared" si="3"/>
        <v>3.530463357762004</v>
      </c>
      <c r="D153" s="106">
        <f t="shared" si="4"/>
        <v>0.6227867831262415</v>
      </c>
      <c r="E153" s="90">
        <f t="shared" si="5"/>
        <v>1.1993807691307388</v>
      </c>
      <c r="F153" s="89">
        <f t="shared" si="6"/>
        <v>0.5836970423798344</v>
      </c>
      <c r="G153" s="82">
        <f t="shared" si="7"/>
        <v>1.063327569376747</v>
      </c>
      <c r="H153" s="106">
        <f t="shared" si="8"/>
        <v>0.4257733226535825</v>
      </c>
      <c r="I153" s="138">
        <f t="shared" si="9"/>
        <v>51.16446153461823</v>
      </c>
      <c r="J153" s="110">
        <f t="shared" si="10"/>
        <v>0.35984916951592805</v>
      </c>
      <c r="K153" s="140">
        <f t="shared" si="11"/>
        <v>50.31649214795984</v>
      </c>
      <c r="L153" s="139"/>
      <c r="M153" s="82"/>
    </row>
    <row r="154" spans="1:13" s="16" customFormat="1" ht="12.75">
      <c r="A154" s="262">
        <v>0.25</v>
      </c>
      <c r="B154" s="106">
        <f t="shared" si="2"/>
        <v>4.413506451411507</v>
      </c>
      <c r="C154" s="322">
        <f t="shared" si="3"/>
        <v>3.900222722448659</v>
      </c>
      <c r="D154" s="106">
        <f t="shared" si="4"/>
        <v>0.7395403362786528</v>
      </c>
      <c r="E154" s="90">
        <f t="shared" si="5"/>
        <v>1.3411020123310953</v>
      </c>
      <c r="F154" s="89">
        <f t="shared" si="6"/>
        <v>0.6987463673520653</v>
      </c>
      <c r="G154" s="82">
        <f t="shared" si="7"/>
        <v>1.1986037228847273</v>
      </c>
      <c r="H154" s="106">
        <f t="shared" si="8"/>
        <v>0.46308852428376146</v>
      </c>
      <c r="I154" s="138">
        <f t="shared" si="9"/>
        <v>49.892962838076784</v>
      </c>
      <c r="J154" s="110">
        <f t="shared" si="10"/>
        <v>0.3962284079606604</v>
      </c>
      <c r="K154" s="140">
        <f t="shared" si="11"/>
        <v>48.949110910871724</v>
      </c>
      <c r="L154" s="139"/>
      <c r="M154" s="82"/>
    </row>
    <row r="155" spans="1:13" s="16" customFormat="1" ht="12.75">
      <c r="A155" s="262">
        <v>0.3</v>
      </c>
      <c r="B155" s="106">
        <f t="shared" si="2"/>
        <v>4.777565380034459</v>
      </c>
      <c r="C155" s="322">
        <f t="shared" si="3"/>
        <v>4.245830533802021</v>
      </c>
      <c r="D155" s="106">
        <f t="shared" si="4"/>
        <v>0.8546639625585355</v>
      </c>
      <c r="E155" s="90">
        <f t="shared" si="5"/>
        <v>1.475090520932086</v>
      </c>
      <c r="F155" s="89">
        <f t="shared" si="6"/>
        <v>0.8120510292552641</v>
      </c>
      <c r="G155" s="82">
        <f t="shared" si="7"/>
        <v>1.3259978618153192</v>
      </c>
      <c r="H155" s="106">
        <f t="shared" si="8"/>
        <v>0.4993161093933419</v>
      </c>
      <c r="I155" s="138">
        <f t="shared" si="9"/>
        <v>48.785441913290676</v>
      </c>
      <c r="J155" s="110">
        <f t="shared" si="10"/>
        <v>0.4313536531448994</v>
      </c>
      <c r="K155" s="140">
        <f t="shared" si="11"/>
        <v>47.770589300834715</v>
      </c>
      <c r="L155" s="139"/>
      <c r="M155" s="82"/>
    </row>
    <row r="156" spans="1:13" s="16" customFormat="1" ht="12.75">
      <c r="A156" s="262">
        <v>0.35</v>
      </c>
      <c r="B156" s="106">
        <f t="shared" si="2"/>
        <v>5.122046191336266</v>
      </c>
      <c r="C156" s="322">
        <f t="shared" si="3"/>
        <v>4.572148430199959</v>
      </c>
      <c r="D156" s="106">
        <f t="shared" si="4"/>
        <v>0.9683366332437049</v>
      </c>
      <c r="E156" s="90">
        <f t="shared" si="5"/>
        <v>1.6026199747985028</v>
      </c>
      <c r="F156" s="89">
        <f t="shared" si="6"/>
        <v>0.9238172947997123</v>
      </c>
      <c r="G156" s="82">
        <f t="shared" si="7"/>
        <v>1.4468847579019324</v>
      </c>
      <c r="H156" s="106">
        <f t="shared" si="8"/>
        <v>0.5345467044215009</v>
      </c>
      <c r="I156" s="138">
        <f t="shared" si="9"/>
        <v>47.803917707398114</v>
      </c>
      <c r="J156" s="110">
        <f t="shared" si="10"/>
        <v>0.46536600060765976</v>
      </c>
      <c r="K156" s="140">
        <f t="shared" si="11"/>
        <v>46.73462320896249</v>
      </c>
      <c r="L156" s="139"/>
      <c r="M156" s="82"/>
    </row>
    <row r="157" spans="1:13" s="16" customFormat="1" ht="12.75">
      <c r="A157" s="262">
        <v>0.4</v>
      </c>
      <c r="B157" s="106">
        <f t="shared" si="2"/>
        <v>5.450261544611565</v>
      </c>
      <c r="C157" s="322">
        <f t="shared" si="3"/>
        <v>4.882592392223629</v>
      </c>
      <c r="D157" s="106">
        <f t="shared" si="4"/>
        <v>1.0807011113152512</v>
      </c>
      <c r="E157" s="90">
        <f t="shared" si="5"/>
        <v>1.7246346404105273</v>
      </c>
      <c r="F157" s="89">
        <f t="shared" si="6"/>
        <v>1.0342071367519394</v>
      </c>
      <c r="G157" s="82">
        <f t="shared" si="7"/>
        <v>1.562265468475534</v>
      </c>
      <c r="H157" s="106">
        <f t="shared" si="8"/>
        <v>0.5688668402805213</v>
      </c>
      <c r="I157" s="138">
        <f t="shared" si="9"/>
        <v>46.922401135576095</v>
      </c>
      <c r="J157" s="110">
        <f t="shared" si="10"/>
        <v>0.49838547616680495</v>
      </c>
      <c r="K157" s="140">
        <f t="shared" si="11"/>
        <v>45.81026951966408</v>
      </c>
      <c r="L157" s="139"/>
      <c r="M157" s="82"/>
    </row>
    <row r="158" spans="1:13" s="16" customFormat="1" ht="12.75">
      <c r="A158" s="262">
        <v>0.45</v>
      </c>
      <c r="B158" s="106">
        <f t="shared" si="2"/>
        <v>5.764681156571263</v>
      </c>
      <c r="C158" s="322">
        <f t="shared" si="3"/>
        <v>5.1796720836550305</v>
      </c>
      <c r="D158" s="106">
        <f t="shared" si="4"/>
        <v>1.1918742092307062</v>
      </c>
      <c r="E158" s="90">
        <f t="shared" si="5"/>
        <v>1.8418598041172827</v>
      </c>
      <c r="F158" s="89">
        <f t="shared" si="6"/>
        <v>1.1433514368697324</v>
      </c>
      <c r="G158" s="82">
        <f t="shared" si="7"/>
        <v>1.6728982993940644</v>
      </c>
      <c r="H158" s="106">
        <f t="shared" si="8"/>
        <v>0.6023545177638059</v>
      </c>
      <c r="I158" s="138">
        <f t="shared" si="9"/>
        <v>46.1222890808543</v>
      </c>
      <c r="J158" s="110">
        <f t="shared" si="10"/>
        <v>0.5305130596718826</v>
      </c>
      <c r="K158" s="140">
        <f t="shared" si="11"/>
        <v>44.97578066799997</v>
      </c>
      <c r="L158" s="139"/>
      <c r="M158" s="82"/>
    </row>
    <row r="159" spans="1:13" s="16" customFormat="1" ht="12.75">
      <c r="A159" s="262">
        <v>0.5</v>
      </c>
      <c r="B159" s="106">
        <f t="shared" si="2"/>
        <v>6.067204944288178</v>
      </c>
      <c r="C159" s="322">
        <f t="shared" si="3"/>
        <v>5.4652959795076015</v>
      </c>
      <c r="D159" s="106">
        <f t="shared" si="4"/>
        <v>1.3019534430564577</v>
      </c>
      <c r="E159" s="90">
        <f t="shared" si="5"/>
        <v>1.9548682432437057</v>
      </c>
      <c r="F159" s="89">
        <f t="shared" si="6"/>
        <v>1.2513583380503317</v>
      </c>
      <c r="G159" s="82">
        <f t="shared" si="7"/>
        <v>1.7793755036340893</v>
      </c>
      <c r="H159" s="106">
        <f t="shared" si="8"/>
        <v>0.6350786434755293</v>
      </c>
      <c r="I159" s="138">
        <f t="shared" si="9"/>
        <v>45.38978676397178</v>
      </c>
      <c r="J159" s="110">
        <f t="shared" si="10"/>
        <v>0.5618338791626187</v>
      </c>
      <c r="K159" s="140">
        <f t="shared" si="11"/>
        <v>44.215264352570635</v>
      </c>
      <c r="L159" s="139"/>
      <c r="M159" s="82"/>
    </row>
    <row r="160" spans="1:13" s="16" customFormat="1" ht="12.75">
      <c r="A160" s="262">
        <f aca="true" t="shared" si="12" ref="A160:A174">A159+0.1</f>
        <v>0.6</v>
      </c>
      <c r="B160" s="106">
        <f t="shared" si="2"/>
        <v>6.642269365755723</v>
      </c>
      <c r="C160" s="322">
        <f t="shared" si="3"/>
        <v>6.007843978105541</v>
      </c>
      <c r="D160" s="106">
        <f t="shared" si="4"/>
        <v>1.519149700689502</v>
      </c>
      <c r="E160" s="90">
        <f t="shared" si="5"/>
        <v>2.1700032043160955</v>
      </c>
      <c r="F160" s="89">
        <f t="shared" si="6"/>
        <v>1.4643104989825677</v>
      </c>
      <c r="G160" s="82">
        <f t="shared" si="7"/>
        <v>1.981671942700098</v>
      </c>
      <c r="H160" s="106">
        <f t="shared" si="8"/>
        <v>0.6984708811407196</v>
      </c>
      <c r="I160" s="138">
        <f t="shared" si="9"/>
        <v>44.08781868801903</v>
      </c>
      <c r="J160" s="110">
        <f t="shared" si="10"/>
        <v>0.6223337187918474</v>
      </c>
      <c r="K160" s="140">
        <f t="shared" si="11"/>
        <v>42.8709462750724</v>
      </c>
      <c r="L160" s="139"/>
      <c r="M160" s="82"/>
    </row>
    <row r="161" spans="1:13" s="16" customFormat="1" ht="12.75">
      <c r="A161" s="262">
        <f t="shared" si="12"/>
        <v>0.7</v>
      </c>
      <c r="B161" s="106">
        <f t="shared" si="2"/>
        <v>7.1843686301979535</v>
      </c>
      <c r="C161" s="322">
        <f t="shared" si="3"/>
        <v>6.519022197053845</v>
      </c>
      <c r="D161" s="106">
        <f t="shared" si="4"/>
        <v>1.7328261287999873</v>
      </c>
      <c r="E161" s="90">
        <f t="shared" si="5"/>
        <v>2.3728665233652437</v>
      </c>
      <c r="F161" s="89">
        <f t="shared" si="6"/>
        <v>1.6736474662981746</v>
      </c>
      <c r="G161" s="82">
        <f t="shared" si="7"/>
        <v>2.172023671571159</v>
      </c>
      <c r="H161" s="106">
        <f t="shared" si="8"/>
        <v>0.7594451381338978</v>
      </c>
      <c r="I161" s="138">
        <f t="shared" si="9"/>
        <v>42.956371619352545</v>
      </c>
      <c r="J161" s="110">
        <f t="shared" si="10"/>
        <v>0.6803487393017666</v>
      </c>
      <c r="K161" s="140">
        <f t="shared" si="11"/>
        <v>41.70972077265181</v>
      </c>
      <c r="L161" s="139"/>
      <c r="M161" s="82"/>
    </row>
    <row r="162" spans="1:13" s="16" customFormat="1" ht="12.75">
      <c r="A162" s="262">
        <f t="shared" si="12"/>
        <v>0.7999999999999999</v>
      </c>
      <c r="B162" s="106">
        <f t="shared" si="2"/>
        <v>7.699634737116758</v>
      </c>
      <c r="C162" s="322">
        <f t="shared" si="3"/>
        <v>7.004805234949957</v>
      </c>
      <c r="D162" s="106">
        <f t="shared" si="4"/>
        <v>1.943395055572429</v>
      </c>
      <c r="E162" s="90">
        <f t="shared" si="5"/>
        <v>2.56547383353789</v>
      </c>
      <c r="F162" s="89">
        <f t="shared" si="6"/>
        <v>1.8798129188592063</v>
      </c>
      <c r="G162" s="82">
        <f t="shared" si="7"/>
        <v>2.352452531289199</v>
      </c>
      <c r="H162" s="106">
        <f t="shared" si="8"/>
        <v>0.8183152149143802</v>
      </c>
      <c r="I162" s="138">
        <f t="shared" si="9"/>
        <v>41.95629919491257</v>
      </c>
      <c r="J162" s="110">
        <f t="shared" si="10"/>
        <v>0.7362285291301232</v>
      </c>
      <c r="K162" s="140">
        <f t="shared" si="11"/>
        <v>40.68825714192921</v>
      </c>
      <c r="L162" s="139"/>
      <c r="M162" s="82"/>
    </row>
    <row r="163" spans="1:13" s="16" customFormat="1" ht="12.75">
      <c r="A163" s="262">
        <f t="shared" si="12"/>
        <v>0.8999999999999999</v>
      </c>
      <c r="B163" s="106">
        <f t="shared" si="2"/>
        <v>8.192501127857096</v>
      </c>
      <c r="C163" s="322">
        <f t="shared" si="3"/>
        <v>7.469476140057598</v>
      </c>
      <c r="D163" s="106">
        <f t="shared" si="4"/>
        <v>2.1511839729825892</v>
      </c>
      <c r="E163" s="90">
        <f t="shared" si="5"/>
        <v>2.749327044911855</v>
      </c>
      <c r="F163" s="89">
        <f t="shared" si="6"/>
        <v>2.0831559707499623</v>
      </c>
      <c r="G163" s="82">
        <f t="shared" si="7"/>
        <v>2.5244517956751076</v>
      </c>
      <c r="H163" s="106">
        <f t="shared" si="8"/>
        <v>0.875330688529242</v>
      </c>
      <c r="I163" s="138">
        <f t="shared" si="9"/>
        <v>41.06063681084657</v>
      </c>
      <c r="J163" s="110">
        <f t="shared" si="10"/>
        <v>0.7902442716359435</v>
      </c>
      <c r="K163" s="140">
        <f t="shared" si="11"/>
        <v>39.77705927833449</v>
      </c>
      <c r="L163" s="139"/>
      <c r="M163" s="82"/>
    </row>
    <row r="164" spans="1:13" s="16" customFormat="1" ht="12.75">
      <c r="A164" s="262">
        <f t="shared" si="12"/>
        <v>0.9999999999999999</v>
      </c>
      <c r="B164" s="106">
        <f t="shared" si="2"/>
        <v>8.666297045394154</v>
      </c>
      <c r="C164" s="322">
        <f t="shared" si="3"/>
        <v>7.916230296225296</v>
      </c>
      <c r="D164" s="106">
        <f t="shared" si="4"/>
        <v>2.356459567280701</v>
      </c>
      <c r="E164" s="90">
        <f t="shared" si="5"/>
        <v>2.9255836024925563</v>
      </c>
      <c r="F164" s="89">
        <f t="shared" si="6"/>
        <v>2.2839587399667285</v>
      </c>
      <c r="G164" s="82">
        <f t="shared" si="7"/>
        <v>2.689164236435588</v>
      </c>
      <c r="H164" s="106">
        <f t="shared" si="8"/>
        <v>0.9306936327795086</v>
      </c>
      <c r="I164" s="138">
        <f t="shared" si="9"/>
        <v>40.24999563990277</v>
      </c>
      <c r="J164" s="110">
        <f t="shared" si="10"/>
        <v>0.8426115182492799</v>
      </c>
      <c r="K164" s="140">
        <f t="shared" si="11"/>
        <v>38.955115653173735</v>
      </c>
      <c r="L164" s="139"/>
      <c r="M164" s="82"/>
    </row>
    <row r="165" spans="1:13" s="16" customFormat="1" ht="12.75">
      <c r="A165" s="262">
        <f t="shared" si="12"/>
        <v>1.0999999999999999</v>
      </c>
      <c r="B165" s="106">
        <f t="shared" si="2"/>
        <v>9.123598417701368</v>
      </c>
      <c r="C165" s="322">
        <f t="shared" si="3"/>
        <v>8.347527337407918</v>
      </c>
      <c r="D165" s="106">
        <f t="shared" si="4"/>
        <v>2.5594433649990154</v>
      </c>
      <c r="E165" s="90">
        <f t="shared" si="5"/>
        <v>3.095159533609085</v>
      </c>
      <c r="F165" s="89">
        <f t="shared" si="6"/>
        <v>2.4824540582605756</v>
      </c>
      <c r="G165" s="82">
        <f t="shared" si="7"/>
        <v>2.8474891319815265</v>
      </c>
      <c r="H165" s="106">
        <f t="shared" si="8"/>
        <v>0.9845703511363744</v>
      </c>
      <c r="I165" s="138">
        <f t="shared" si="9"/>
        <v>39.509953669897854</v>
      </c>
      <c r="J165" s="110">
        <f t="shared" si="10"/>
        <v>0.8935051550903716</v>
      </c>
      <c r="K165" s="140">
        <f t="shared" si="11"/>
        <v>38.2069161370063</v>
      </c>
      <c r="L165" s="139"/>
      <c r="M165" s="82"/>
    </row>
    <row r="166" spans="1:13" s="16" customFormat="1" ht="12.75">
      <c r="A166" s="262">
        <f t="shared" si="12"/>
        <v>1.2</v>
      </c>
      <c r="B166" s="106">
        <f t="shared" si="2"/>
        <v>9.566447127606773</v>
      </c>
      <c r="C166" s="322">
        <f t="shared" si="3"/>
        <v>8.765308837892988</v>
      </c>
      <c r="D166" s="106">
        <f t="shared" si="4"/>
        <v>2.760322385433572</v>
      </c>
      <c r="E166" s="90">
        <f t="shared" si="5"/>
        <v>3.2587956047083027</v>
      </c>
      <c r="F166" s="89">
        <f t="shared" si="6"/>
        <v>2.6788373967863244</v>
      </c>
      <c r="G166" s="82">
        <f t="shared" si="7"/>
        <v>3.000150259833745</v>
      </c>
      <c r="H166" s="106">
        <f t="shared" si="8"/>
        <v>1.0370997036294276</v>
      </c>
      <c r="I166" s="138">
        <f t="shared" si="9"/>
        <v>38.8294848662628</v>
      </c>
      <c r="J166" s="110">
        <f t="shared" si="10"/>
        <v>0.9430695605965109</v>
      </c>
      <c r="K166" s="140">
        <f t="shared" si="11"/>
        <v>37.520678207128846</v>
      </c>
      <c r="L166" s="139"/>
      <c r="M166" s="82"/>
    </row>
    <row r="167" spans="1:13" s="16" customFormat="1" ht="12.75">
      <c r="A167" s="262">
        <f t="shared" si="12"/>
        <v>1.3</v>
      </c>
      <c r="B167" s="106">
        <f t="shared" si="2"/>
        <v>9.996494423751434</v>
      </c>
      <c r="C167" s="322">
        <f t="shared" si="3"/>
        <v>9.171139529084087</v>
      </c>
      <c r="D167" s="106">
        <f t="shared" si="4"/>
        <v>2.9592566588352596</v>
      </c>
      <c r="E167" s="90">
        <f t="shared" si="5"/>
        <v>3.4171016404614187</v>
      </c>
      <c r="F167" s="89">
        <f t="shared" si="6"/>
        <v>2.873275205483122</v>
      </c>
      <c r="G167" s="82">
        <f t="shared" si="7"/>
        <v>3.147741061113212</v>
      </c>
      <c r="H167" s="106">
        <f t="shared" si="8"/>
        <v>1.0883991209321557</v>
      </c>
      <c r="I167" s="138">
        <f t="shared" si="9"/>
        <v>38.199965997902346</v>
      </c>
      <c r="J167" s="110">
        <f t="shared" si="10"/>
        <v>0.9914257058116402</v>
      </c>
      <c r="K167" s="140">
        <f t="shared" si="11"/>
        <v>36.887236909195565</v>
      </c>
      <c r="L167" s="139"/>
      <c r="M167" s="82"/>
    </row>
    <row r="168" spans="1:13" s="16" customFormat="1" ht="12.75">
      <c r="A168" s="262">
        <f t="shared" si="12"/>
        <v>1.4000000000000001</v>
      </c>
      <c r="B168" s="106">
        <f t="shared" si="2"/>
        <v>10.415098288226318</v>
      </c>
      <c r="C168" s="322">
        <f t="shared" si="3"/>
        <v>9.566302533546017</v>
      </c>
      <c r="D168" s="106">
        <f t="shared" si="4"/>
        <v>3.156384691921031</v>
      </c>
      <c r="E168" s="90">
        <f t="shared" si="5"/>
        <v>3.570587268726205</v>
      </c>
      <c r="F168" s="89">
        <f t="shared" si="6"/>
        <v>3.0659109278380283</v>
      </c>
      <c r="G168" s="82">
        <f t="shared" si="7"/>
        <v>3.290755750762357</v>
      </c>
      <c r="H168" s="106">
        <f t="shared" si="8"/>
        <v>1.1385690296216797</v>
      </c>
      <c r="I168" s="138">
        <f t="shared" si="9"/>
        <v>37.61452301378598</v>
      </c>
      <c r="J168" s="110">
        <f t="shared" si="10"/>
        <v>1.0386762493788937</v>
      </c>
      <c r="K168" s="140">
        <f t="shared" si="11"/>
        <v>36.29932057944482</v>
      </c>
      <c r="L168" s="139"/>
      <c r="M168" s="82"/>
    </row>
    <row r="169" spans="1:13" s="16" customFormat="1" ht="12.75">
      <c r="A169" s="262">
        <f t="shared" si="12"/>
        <v>1.5000000000000002</v>
      </c>
      <c r="B169" s="106">
        <f t="shared" si="2"/>
        <v>10.823391640735135</v>
      </c>
      <c r="C169" s="322">
        <f t="shared" si="3"/>
        <v>9.95186569933424</v>
      </c>
      <c r="D169" s="106">
        <f t="shared" si="4"/>
        <v>3.351827540985389</v>
      </c>
      <c r="E169" s="90">
        <f t="shared" si="5"/>
        <v>3.719683880943956</v>
      </c>
      <c r="F169" s="89">
        <f t="shared" si="6"/>
        <v>3.2568694526186417</v>
      </c>
      <c r="G169" s="82">
        <f t="shared" si="7"/>
        <v>3.4296114052835627</v>
      </c>
      <c r="H169" s="106">
        <f t="shared" si="8"/>
        <v>1.1876961672503055</v>
      </c>
      <c r="I169" s="138">
        <f t="shared" si="9"/>
        <v>37.067586229670155</v>
      </c>
      <c r="J169" s="110">
        <f t="shared" si="10"/>
        <v>1.0849092789617223</v>
      </c>
      <c r="K169" s="140">
        <f t="shared" si="11"/>
        <v>35.75106154881005</v>
      </c>
      <c r="L169" s="139"/>
      <c r="M169" s="82"/>
    </row>
    <row r="170" spans="1:13" s="16" customFormat="1" ht="12.75">
      <c r="A170" s="262">
        <f t="shared" si="12"/>
        <v>1.6000000000000003</v>
      </c>
      <c r="B170" s="106">
        <f t="shared" si="2"/>
        <v>11.222331397781932</v>
      </c>
      <c r="C170" s="322">
        <f t="shared" si="3"/>
        <v>10.328729086140308</v>
      </c>
      <c r="D170" s="106">
        <f t="shared" si="4"/>
        <v>3.5456919121436425</v>
      </c>
      <c r="E170" s="90">
        <f t="shared" si="5"/>
        <v>3.8647607118227847</v>
      </c>
      <c r="F170" s="89">
        <f t="shared" si="6"/>
        <v>3.446260481846777</v>
      </c>
      <c r="G170" s="82">
        <f t="shared" si="7"/>
        <v>3.5646640517246913</v>
      </c>
      <c r="H170" s="106">
        <f t="shared" si="8"/>
        <v>1.2358561074449188</v>
      </c>
      <c r="I170" s="138">
        <f t="shared" si="9"/>
        <v>36.554578886695154</v>
      </c>
      <c r="J170" s="110">
        <f t="shared" si="10"/>
        <v>1.1302011151196831</v>
      </c>
      <c r="K170" s="140">
        <f t="shared" si="11"/>
        <v>35.23765572143059</v>
      </c>
      <c r="L170" s="139"/>
      <c r="M170" s="82"/>
    </row>
    <row r="171" spans="1:13" s="16" customFormat="1" ht="12.75">
      <c r="A171" s="262">
        <f t="shared" si="12"/>
        <v>1.7000000000000004</v>
      </c>
      <c r="B171" s="106">
        <f t="shared" si="2"/>
        <v>11.612734574514949</v>
      </c>
      <c r="C171" s="322">
        <f t="shared" si="3"/>
        <v>10.697659765937031</v>
      </c>
      <c r="D171" s="106">
        <f t="shared" si="4"/>
        <v>3.738072564438869</v>
      </c>
      <c r="E171" s="90">
        <f t="shared" si="5"/>
        <v>4.006136866978597</v>
      </c>
      <c r="F171" s="89">
        <f t="shared" si="6"/>
        <v>3.63418112738983</v>
      </c>
      <c r="G171" s="82">
        <f t="shared" si="7"/>
        <v>3.6962206476885546</v>
      </c>
      <c r="H171" s="106">
        <f t="shared" si="8"/>
        <v>1.2831152128177123</v>
      </c>
      <c r="I171" s="138">
        <f t="shared" si="9"/>
        <v>36.071693694617785</v>
      </c>
      <c r="J171" s="110">
        <f t="shared" si="10"/>
        <v>1.1746184506615944</v>
      </c>
      <c r="K171" s="140">
        <f t="shared" si="11"/>
        <v>34.75511967648576</v>
      </c>
      <c r="L171" s="139"/>
      <c r="M171" s="82"/>
    </row>
    <row r="172" spans="1:13" s="16" customFormat="1" ht="12.75">
      <c r="A172" s="262">
        <f t="shared" si="12"/>
        <v>1.8000000000000005</v>
      </c>
      <c r="B172" s="106">
        <f t="shared" si="2"/>
        <v>11.995305383171935</v>
      </c>
      <c r="C172" s="322">
        <f t="shared" si="3"/>
        <v>11.059317851468409</v>
      </c>
      <c r="D172" s="106">
        <f t="shared" si="4"/>
        <v>3.929054202362305</v>
      </c>
      <c r="E172" s="90">
        <f t="shared" si="5"/>
        <v>4.144090488130374</v>
      </c>
      <c r="F172" s="89">
        <f t="shared" si="6"/>
        <v>3.8207179459650207</v>
      </c>
      <c r="G172" s="82">
        <f t="shared" si="7"/>
        <v>3.8245481736685436</v>
      </c>
      <c r="H172" s="106">
        <f t="shared" si="8"/>
        <v>1.3295321664387059</v>
      </c>
      <c r="I172" s="138">
        <f t="shared" si="9"/>
        <v>35.6157290585934</v>
      </c>
      <c r="J172" s="110">
        <f t="shared" si="10"/>
        <v>1.2182200092082023</v>
      </c>
      <c r="K172" s="140">
        <f t="shared" si="11"/>
        <v>34.30011351771914</v>
      </c>
      <c r="L172" s="139"/>
      <c r="M172" s="82"/>
    </row>
    <row r="173" spans="1:13" s="16" customFormat="1" ht="12.75">
      <c r="A173" s="262">
        <f t="shared" si="12"/>
        <v>1.9000000000000006</v>
      </c>
      <c r="B173" s="106">
        <f t="shared" si="2"/>
        <v>12.370655930287105</v>
      </c>
      <c r="C173" s="322">
        <f t="shared" si="3"/>
        <v>11.414276314046361</v>
      </c>
      <c r="D173" s="106">
        <f t="shared" si="4"/>
        <v>4.11871298721141</v>
      </c>
      <c r="E173" s="90">
        <f t="shared" si="5"/>
        <v>4.27886585178007</v>
      </c>
      <c r="F173" s="89">
        <f t="shared" si="6"/>
        <v>4.005948557159935</v>
      </c>
      <c r="G173" s="82">
        <f t="shared" si="7"/>
        <v>3.949880650169429</v>
      </c>
      <c r="H173" s="106">
        <f t="shared" si="8"/>
        <v>1.3751591880488916</v>
      </c>
      <c r="I173" s="138">
        <f t="shared" si="9"/>
        <v>35.1839667878723</v>
      </c>
      <c r="J173" s="110">
        <f t="shared" si="10"/>
        <v>1.261057849441507</v>
      </c>
      <c r="K173" s="140">
        <f t="shared" si="11"/>
        <v>33.86980917116772</v>
      </c>
      <c r="L173" s="139"/>
      <c r="M173" s="82"/>
    </row>
    <row r="174" spans="1:13" s="16" customFormat="1" ht="12.75">
      <c r="A174" s="262">
        <f t="shared" si="12"/>
        <v>2.0000000000000004</v>
      </c>
      <c r="B174" s="106">
        <f t="shared" si="2"/>
        <v>12.739322269889854</v>
      </c>
      <c r="C174" s="322">
        <f t="shared" si="3"/>
        <v>11.763036312185688</v>
      </c>
      <c r="D174" s="106">
        <f t="shared" si="4"/>
        <v>4.307117759075464</v>
      </c>
      <c r="E174" s="90">
        <f t="shared" si="5"/>
        <v>4.410678947175379</v>
      </c>
      <c r="F174" s="89">
        <f t="shared" si="6"/>
        <v>4.1899429464248765</v>
      </c>
      <c r="G174" s="82">
        <f t="shared" si="7"/>
        <v>4.072424633920794</v>
      </c>
      <c r="H174" s="106">
        <f t="shared" si="8"/>
        <v>1.4200430110472917</v>
      </c>
      <c r="I174" s="138">
        <f t="shared" si="9"/>
        <v>34.77407925911096</v>
      </c>
      <c r="J174" s="110">
        <f t="shared" si="10"/>
        <v>1.3031784039021135</v>
      </c>
      <c r="K174" s="140">
        <f t="shared" si="11"/>
        <v>33.46179079712781</v>
      </c>
      <c r="L174" s="139"/>
      <c r="M174" s="82"/>
    </row>
    <row r="175" spans="1:13" s="16" customFormat="1" ht="12.75">
      <c r="A175" s="262">
        <f aca="true" t="shared" si="13" ref="A175:A189">A174+0.2</f>
        <v>2.2000000000000006</v>
      </c>
      <c r="B175" s="106">
        <f t="shared" si="2"/>
        <v>13.458439444610192</v>
      </c>
      <c r="C175" s="322">
        <f t="shared" si="3"/>
        <v>12.443676154695918</v>
      </c>
      <c r="D175" s="106">
        <f t="shared" si="4"/>
        <v>4.68040983795</v>
      </c>
      <c r="E175" s="90">
        <f t="shared" si="5"/>
        <v>4.66616662734801</v>
      </c>
      <c r="F175" s="89">
        <f t="shared" si="6"/>
        <v>4.554471010104907</v>
      </c>
      <c r="G175" s="82">
        <f t="shared" si="7"/>
        <v>4.30986134413974</v>
      </c>
      <c r="H175" s="106">
        <f t="shared" si="8"/>
        <v>1.507745178316751</v>
      </c>
      <c r="I175" s="138">
        <f t="shared" si="9"/>
        <v>34.012157331034636</v>
      </c>
      <c r="J175" s="110">
        <f t="shared" si="10"/>
        <v>1.3854301210296396</v>
      </c>
      <c r="K175" s="140">
        <f t="shared" si="11"/>
        <v>32.704568044430786</v>
      </c>
      <c r="L175" s="139"/>
      <c r="M175" s="82"/>
    </row>
    <row r="176" spans="1:13" s="16" customFormat="1" ht="12.75">
      <c r="A176" s="262">
        <f t="shared" si="13"/>
        <v>2.400000000000001</v>
      </c>
      <c r="B176" s="106">
        <f t="shared" si="2"/>
        <v>14.155844358303284</v>
      </c>
      <c r="C176" s="322">
        <f t="shared" si="3"/>
        <v>13.104210064161933</v>
      </c>
      <c r="D176" s="106">
        <f t="shared" si="4"/>
        <v>5.04936862637568</v>
      </c>
      <c r="E176" s="90">
        <f t="shared" si="5"/>
        <v>4.911864320298402</v>
      </c>
      <c r="F176" s="89">
        <f t="shared" si="6"/>
        <v>4.914745277424097</v>
      </c>
      <c r="G176" s="82">
        <f t="shared" si="7"/>
        <v>4.538107303389807</v>
      </c>
      <c r="H176" s="106">
        <f t="shared" si="8"/>
        <v>1.5929296032721947</v>
      </c>
      <c r="I176" s="138">
        <f t="shared" si="9"/>
        <v>33.316797450532306</v>
      </c>
      <c r="J176" s="110">
        <f t="shared" si="10"/>
        <v>1.4652622774168216</v>
      </c>
      <c r="K176" s="140">
        <f t="shared" si="11"/>
        <v>32.01484880953934</v>
      </c>
      <c r="L176" s="139"/>
      <c r="M176" s="82"/>
    </row>
    <row r="177" spans="1:13" s="16" customFormat="1" ht="12.75">
      <c r="A177" s="262">
        <f t="shared" si="13"/>
        <v>2.600000000000001</v>
      </c>
      <c r="B177" s="106">
        <f t="shared" si="2"/>
        <v>14.834095498702185</v>
      </c>
      <c r="C177" s="322">
        <f t="shared" si="3"/>
        <v>13.747020223175712</v>
      </c>
      <c r="D177" s="106">
        <f t="shared" si="4"/>
        <v>5.414363868049526</v>
      </c>
      <c r="E177" s="90">
        <f t="shared" si="5"/>
        <v>5.148839903126924</v>
      </c>
      <c r="F177" s="89">
        <f t="shared" si="6"/>
        <v>5.2711382551578545</v>
      </c>
      <c r="G177" s="82">
        <f t="shared" si="7"/>
        <v>4.758177442148951</v>
      </c>
      <c r="H177" s="106">
        <f t="shared" si="8"/>
        <v>1.6758377102156699</v>
      </c>
      <c r="I177" s="138">
        <f t="shared" si="9"/>
        <v>32.67783096876417</v>
      </c>
      <c r="J177" s="110">
        <f t="shared" si="10"/>
        <v>1.5429120366174893</v>
      </c>
      <c r="K177" s="140">
        <f t="shared" si="11"/>
        <v>31.38216966647382</v>
      </c>
      <c r="L177" s="139"/>
      <c r="M177" s="82"/>
    </row>
    <row r="178" spans="1:13" s="16" customFormat="1" ht="12.75">
      <c r="A178" s="262">
        <f t="shared" si="13"/>
        <v>2.800000000000001</v>
      </c>
      <c r="B178" s="106">
        <f t="shared" si="2"/>
        <v>15.495283734710647</v>
      </c>
      <c r="C178" s="322">
        <f t="shared" si="3"/>
        <v>14.374050785403432</v>
      </c>
      <c r="D178" s="106">
        <f t="shared" si="4"/>
        <v>5.775711571907598</v>
      </c>
      <c r="E178" s="90">
        <f t="shared" si="5"/>
        <v>5.377977627216758</v>
      </c>
      <c r="F178" s="89">
        <f t="shared" si="6"/>
        <v>5.623967242771489</v>
      </c>
      <c r="G178" s="82">
        <f t="shared" si="7"/>
        <v>4.9709103085759345</v>
      </c>
      <c r="H178" s="106">
        <f t="shared" si="8"/>
        <v>1.7566727098212227</v>
      </c>
      <c r="I178" s="138">
        <f t="shared" si="9"/>
        <v>32.08724039865356</v>
      </c>
      <c r="J178" s="110">
        <f t="shared" si="10"/>
        <v>1.618578252838514</v>
      </c>
      <c r="K178" s="140">
        <f t="shared" si="11"/>
        <v>30.79830665473282</v>
      </c>
      <c r="L178" s="139"/>
      <c r="M178" s="82"/>
    </row>
    <row r="179" spans="1:13" s="16" customFormat="1" ht="12.75">
      <c r="A179" s="262">
        <f t="shared" si="13"/>
        <v>3.0000000000000013</v>
      </c>
      <c r="B179" s="106">
        <f t="shared" si="2"/>
        <v>16.141144020815666</v>
      </c>
      <c r="C179" s="322">
        <f t="shared" si="3"/>
        <v>14.98691314196535</v>
      </c>
      <c r="D179" s="106">
        <f t="shared" si="4"/>
        <v>6.133684789550406</v>
      </c>
      <c r="E179" s="90">
        <f t="shared" si="5"/>
        <v>5.6000198905951875</v>
      </c>
      <c r="F179" s="89">
        <f t="shared" si="6"/>
        <v>5.973505579707595</v>
      </c>
      <c r="G179" s="82">
        <f t="shared" si="7"/>
        <v>5.177008564658943</v>
      </c>
      <c r="H179" s="106">
        <f t="shared" si="8"/>
        <v>1.8356077488853066</v>
      </c>
      <c r="I179" s="138">
        <f t="shared" si="9"/>
        <v>31.538592629150486</v>
      </c>
      <c r="J179" s="110">
        <f t="shared" si="10"/>
        <v>1.6924298023262216</v>
      </c>
      <c r="K179" s="140">
        <f t="shared" si="11"/>
        <v>30.256679343689527</v>
      </c>
      <c r="L179" s="139"/>
      <c r="M179" s="82"/>
    </row>
    <row r="180" spans="1:13" s="16" customFormat="1" ht="12.75">
      <c r="A180" s="262">
        <f t="shared" si="13"/>
        <v>3.2000000000000015</v>
      </c>
      <c r="B180" s="106">
        <f t="shared" si="2"/>
        <v>16.77313494871574</v>
      </c>
      <c r="C180" s="322">
        <f t="shared" si="3"/>
        <v>15.586960711121542</v>
      </c>
      <c r="D180" s="106">
        <f t="shared" si="4"/>
        <v>6.488521694880282</v>
      </c>
      <c r="E180" s="90">
        <f t="shared" si="5"/>
        <v>5.81559745930641</v>
      </c>
      <c r="F180" s="89">
        <f t="shared" si="6"/>
        <v>6.319991040287402</v>
      </c>
      <c r="G180" s="82">
        <f t="shared" si="7"/>
        <v>5.377068192204521</v>
      </c>
      <c r="H180" s="106">
        <f t="shared" si="8"/>
        <v>1.9127919283796384</v>
      </c>
      <c r="I180" s="138">
        <f t="shared" si="9"/>
        <v>31.026647475275126</v>
      </c>
      <c r="J180" s="110">
        <f t="shared" si="10"/>
        <v>1.7646116934925309</v>
      </c>
      <c r="K180" s="140">
        <f t="shared" si="11"/>
        <v>29.751940870103603</v>
      </c>
      <c r="L180" s="139"/>
      <c r="M180" s="82"/>
    </row>
    <row r="181" spans="1:13" s="16" customFormat="1" ht="12.75">
      <c r="A181" s="262">
        <f t="shared" si="13"/>
        <v>3.4000000000000017</v>
      </c>
      <c r="B181" s="106">
        <f aca="true" t="shared" si="14" ref="B181:B199">A181+$J$114*($J$121*A181/$J$114+$J$122)^$J$123</f>
        <v>17.392496786414533</v>
      </c>
      <c r="C181" s="322">
        <f aca="true" t="shared" si="15" ref="C181:C199">A181+$J$114*($J$129*A181/$J$114+$J$130)^$J$131</f>
        <v>16.175343393461677</v>
      </c>
      <c r="D181" s="106">
        <f aca="true" t="shared" si="16" ref="D181:D199">(B181+A181)/2-((B181-A181)/2*((1+$J$123*$J$121*($J$121*A181/$J$114+$J$122)^($J$123-1))-1)/((1+$J$123*$J$121*($J$121*A181/$J$114+$J$122)^($J$123-1))+1))</f>
        <v>6.840431761495526</v>
      </c>
      <c r="E181" s="90">
        <f aca="true" t="shared" si="17" ref="E181:E199">(B181-A181)*SQRT(1+$J$123*$J$121*($J$121*A181/$J$114+$J$122)^($J$123-1))/((1+$J$123*$J$121*($J$121*A181/$J$114+$J$122)^($J$123-1))+1)</f>
        <v>6.025251833832127</v>
      </c>
      <c r="F181" s="89">
        <f aca="true" t="shared" si="18" ref="F181:F199">(C181+A181)/2-((C181-A181)/2*((1+$J$131*$J$129*($J$129*A181/$J$114+$J$130)^($J$131-1))-1)/((1+$J$131*$J$129*($J$129*A181/$J$114+$J$130)^($J$131-1))+1))</f>
        <v>6.663632226872281</v>
      </c>
      <c r="G181" s="82">
        <f aca="true" t="shared" si="19" ref="G181:G199">(C181-A181)*SQRT(1+$J$131*$J$129*($J$129*A181/$J$114+$J$130)^($J$131-1))/((1+$J$131*$J$129*($J$129*A181/$J$114+$J$130)^($J$131-1))+1)</f>
        <v>5.571600048099476</v>
      </c>
      <c r="H181" s="106">
        <f aca="true" t="shared" si="20" ref="H181:H199">E181-D181*TAN(RADIANS(I181))</f>
        <v>1.988354838251258</v>
      </c>
      <c r="I181" s="138">
        <f aca="true" t="shared" si="21" ref="I181:I199">90-DEGREES(ASIN(2*E181/(B181-A181)))</f>
        <v>30.547080189667383</v>
      </c>
      <c r="J181" s="110">
        <f aca="true" t="shared" si="22" ref="J181:J199">G181-F181*TAN(RADIANS(K181))</f>
        <v>1.8352496443278525</v>
      </c>
      <c r="K181" s="140">
        <f aca="true" t="shared" si="23" ref="K181:K199">90-DEGREES(ASIN(2*G181/(C181-A181)))</f>
        <v>29.27968833576398</v>
      </c>
      <c r="L181" s="139"/>
      <c r="M181" s="82"/>
    </row>
    <row r="182" spans="1:13" s="16" customFormat="1" ht="12.75">
      <c r="A182" s="262">
        <f t="shared" si="13"/>
        <v>3.600000000000002</v>
      </c>
      <c r="B182" s="106">
        <f t="shared" si="14"/>
        <v>18.000294717284515</v>
      </c>
      <c r="C182" s="322">
        <f t="shared" si="15"/>
        <v>16.753048070778597</v>
      </c>
      <c r="D182" s="106">
        <f t="shared" si="16"/>
        <v>7.189600567009938</v>
      </c>
      <c r="E182" s="90">
        <f t="shared" si="17"/>
        <v>6.229452130933878</v>
      </c>
      <c r="F182" s="89">
        <f t="shared" si="18"/>
        <v>7.004613524266632</v>
      </c>
      <c r="G182" s="82">
        <f t="shared" si="19"/>
        <v>5.76104609402517</v>
      </c>
      <c r="H182" s="106">
        <f t="shared" si="20"/>
        <v>2.062410035621377</v>
      </c>
      <c r="I182" s="138">
        <f t="shared" si="21"/>
        <v>30.09628027122517</v>
      </c>
      <c r="J182" s="110">
        <f t="shared" si="22"/>
        <v>1.9044535756948946</v>
      </c>
      <c r="K182" s="140">
        <f t="shared" si="23"/>
        <v>28.836253483048466</v>
      </c>
      <c r="L182" s="139"/>
      <c r="M182" s="82"/>
    </row>
    <row r="183" spans="1:13" s="16" customFormat="1" ht="12.75">
      <c r="A183" s="262">
        <f t="shared" si="13"/>
        <v>3.800000000000002</v>
      </c>
      <c r="B183" s="106">
        <f t="shared" si="14"/>
        <v>18.59745164774886</v>
      </c>
      <c r="C183" s="322">
        <f t="shared" si="15"/>
        <v>17.320929288458053</v>
      </c>
      <c r="D183" s="106">
        <f t="shared" si="16"/>
        <v>7.536193585846185</v>
      </c>
      <c r="E183" s="90">
        <f t="shared" si="17"/>
        <v>6.428608047024656</v>
      </c>
      <c r="F183" s="89">
        <f t="shared" si="18"/>
        <v>7.34309899828025</v>
      </c>
      <c r="G183" s="82">
        <f t="shared" si="19"/>
        <v>5.945791831719245</v>
      </c>
      <c r="H183" s="106">
        <f t="shared" si="20"/>
        <v>2.1350577546004486</v>
      </c>
      <c r="I183" s="138">
        <f t="shared" si="21"/>
        <v>29.671202685768407</v>
      </c>
      <c r="J183" s="110">
        <f t="shared" si="22"/>
        <v>1.9723203210228522</v>
      </c>
      <c r="K183" s="140">
        <f t="shared" si="23"/>
        <v>28.418548332275243</v>
      </c>
      <c r="L183" s="139"/>
      <c r="M183" s="82"/>
    </row>
    <row r="184" spans="1:13" s="16" customFormat="1" ht="12.75">
      <c r="A184" s="262">
        <f t="shared" si="13"/>
        <v>4.000000000000002</v>
      </c>
      <c r="B184" s="106">
        <f t="shared" si="14"/>
        <v>19.184773505014093</v>
      </c>
      <c r="C184" s="322">
        <f t="shared" si="15"/>
        <v>17.879732883294658</v>
      </c>
      <c r="D184" s="106">
        <f t="shared" si="16"/>
        <v>7.880359223376103</v>
      </c>
      <c r="E184" s="90">
        <f t="shared" si="17"/>
        <v>6.623079964987475</v>
      </c>
      <c r="F184" s="89">
        <f t="shared" si="18"/>
        <v>7.6792355051776315</v>
      </c>
      <c r="G184" s="82">
        <f t="shared" si="19"/>
        <v>6.1261759788663825</v>
      </c>
      <c r="H184" s="106">
        <f t="shared" si="20"/>
        <v>2.206387047001793</v>
      </c>
      <c r="I184" s="138">
        <f t="shared" si="21"/>
        <v>29.26925591270446</v>
      </c>
      <c r="J184" s="110">
        <f t="shared" si="22"/>
        <v>2.0389357587034507</v>
      </c>
      <c r="K184" s="140">
        <f t="shared" si="23"/>
        <v>28.023949320202867</v>
      </c>
      <c r="L184" s="139"/>
      <c r="M184" s="82"/>
    </row>
    <row r="185" spans="1:13" s="16" customFormat="1" ht="12.75">
      <c r="A185" s="262">
        <f t="shared" si="13"/>
        <v>4.200000000000002</v>
      </c>
      <c r="B185" s="106">
        <f t="shared" si="14"/>
        <v>19.762969025676725</v>
      </c>
      <c r="C185" s="322">
        <f t="shared" si="15"/>
        <v>18.430114444407327</v>
      </c>
      <c r="D185" s="106">
        <f t="shared" si="16"/>
        <v>8.222231271955916</v>
      </c>
      <c r="E185" s="90">
        <f t="shared" si="17"/>
        <v>6.813186941106054</v>
      </c>
      <c r="F185" s="89">
        <f t="shared" si="18"/>
        <v>8.013155201745777</v>
      </c>
      <c r="G185" s="82">
        <f t="shared" si="19"/>
        <v>6.3024981017473225</v>
      </c>
      <c r="H185" s="106">
        <f t="shared" si="20"/>
        <v>2.2764774946208775</v>
      </c>
      <c r="I185" s="138">
        <f t="shared" si="21"/>
        <v>28.888216388265874</v>
      </c>
      <c r="J185" s="110">
        <f t="shared" si="22"/>
        <v>2.104376511904791</v>
      </c>
      <c r="K185" s="140">
        <f t="shared" si="23"/>
        <v>27.650208960487028</v>
      </c>
      <c r="L185" s="139"/>
      <c r="M185" s="82"/>
    </row>
    <row r="186" spans="1:13" s="16" customFormat="1" ht="12.75">
      <c r="A186" s="262">
        <f t="shared" si="13"/>
        <v>4.400000000000002</v>
      </c>
      <c r="B186" s="106">
        <f t="shared" si="14"/>
        <v>20.332665434821806</v>
      </c>
      <c r="C186" s="322">
        <f t="shared" si="15"/>
        <v>18.972653925319538</v>
      </c>
      <c r="D186" s="106">
        <f t="shared" si="16"/>
        <v>8.561930920147022</v>
      </c>
      <c r="E186" s="90">
        <f t="shared" si="17"/>
        <v>6.999213093588929</v>
      </c>
      <c r="F186" s="89">
        <f t="shared" si="18"/>
        <v>8.3449775934785</v>
      </c>
      <c r="G186" s="82">
        <f t="shared" si="19"/>
        <v>6.475024710366336</v>
      </c>
      <c r="H186" s="106">
        <f t="shared" si="20"/>
        <v>2.3454005942249</v>
      </c>
      <c r="I186" s="138">
        <f t="shared" si="21"/>
        <v>28.52616220917257</v>
      </c>
      <c r="J186" s="110">
        <f t="shared" si="22"/>
        <v>2.168711319289926</v>
      </c>
      <c r="K186" s="140">
        <f t="shared" si="23"/>
        <v>27.295387535708848</v>
      </c>
      <c r="L186" s="139"/>
      <c r="M186" s="82"/>
    </row>
    <row r="187" spans="1:13" s="16" customFormat="1" ht="12.75">
      <c r="A187" s="262">
        <f t="shared" si="13"/>
        <v>4.600000000000002</v>
      </c>
      <c r="B187" s="106">
        <f t="shared" si="14"/>
        <v>20.89442101334487</v>
      </c>
      <c r="C187" s="322">
        <f t="shared" si="15"/>
        <v>19.50786734528092</v>
      </c>
      <c r="D187" s="106">
        <f t="shared" si="16"/>
        <v>8.899568412170105</v>
      </c>
      <c r="E187" s="90">
        <f t="shared" si="17"/>
        <v>7.1814127685746785</v>
      </c>
      <c r="F187" s="89">
        <f t="shared" si="18"/>
        <v>8.674811222193311</v>
      </c>
      <c r="G187" s="82">
        <f t="shared" si="19"/>
        <v>6.6439941797842765</v>
      </c>
      <c r="H187" s="106">
        <f t="shared" si="20"/>
        <v>2.4132208891981115</v>
      </c>
      <c r="I187" s="138">
        <f t="shared" si="21"/>
        <v>28.18142111580267</v>
      </c>
      <c r="J187" s="110">
        <f t="shared" si="22"/>
        <v>2.232002151932128</v>
      </c>
      <c r="K187" s="140">
        <f t="shared" si="23"/>
        <v>26.95779960671726</v>
      </c>
      <c r="L187" s="139"/>
      <c r="M187" s="82"/>
    </row>
    <row r="188" spans="1:13" s="16" customFormat="1" ht="12.75">
      <c r="A188" s="262">
        <f t="shared" si="13"/>
        <v>4.8000000000000025</v>
      </c>
      <c r="B188" s="106">
        <f t="shared" si="14"/>
        <v>21.448735276914043</v>
      </c>
      <c r="C188" s="322">
        <f t="shared" si="15"/>
        <v>20.03621625900975</v>
      </c>
      <c r="D188" s="106">
        <f t="shared" si="16"/>
        <v>9.235244430393232</v>
      </c>
      <c r="E188" s="90">
        <f t="shared" si="17"/>
        <v>7.360014758999475</v>
      </c>
      <c r="F188" s="89">
        <f t="shared" si="18"/>
        <v>9.002755068861372</v>
      </c>
      <c r="G188" s="82">
        <f t="shared" si="19"/>
        <v>6.809620763594789</v>
      </c>
      <c r="H188" s="106">
        <f t="shared" si="20"/>
        <v>2.479996902721866</v>
      </c>
      <c r="I188" s="138">
        <f t="shared" si="21"/>
        <v>27.852529215548266</v>
      </c>
      <c r="J188" s="110">
        <f t="shared" si="22"/>
        <v>2.294305132063511</v>
      </c>
      <c r="K188" s="140">
        <f t="shared" si="23"/>
        <v>26.635971643195667</v>
      </c>
      <c r="L188" s="139"/>
      <c r="M188" s="82"/>
    </row>
    <row r="189" spans="1:13" s="16" customFormat="1" ht="12.75">
      <c r="A189" s="262">
        <f t="shared" si="13"/>
        <v>5.000000000000003</v>
      </c>
      <c r="B189" s="106">
        <f t="shared" si="14"/>
        <v>21.996057299199254</v>
      </c>
      <c r="C189" s="322">
        <f t="shared" si="15"/>
        <v>20.558115494263244</v>
      </c>
      <c r="D189" s="106">
        <f t="shared" si="16"/>
        <v>9.569051256198316</v>
      </c>
      <c r="E189" s="90">
        <f t="shared" si="17"/>
        <v>7.535225781060411</v>
      </c>
      <c r="F189" s="89">
        <f t="shared" si="18"/>
        <v>9.328899729103759</v>
      </c>
      <c r="G189" s="82">
        <f t="shared" si="19"/>
        <v>6.9720978968920475</v>
      </c>
      <c r="H189" s="106">
        <f t="shared" si="20"/>
        <v>2.5457819137778097</v>
      </c>
      <c r="I189" s="138">
        <f t="shared" si="21"/>
        <v>27.53819789042369</v>
      </c>
      <c r="J189" s="110">
        <f t="shared" si="22"/>
        <v>2.355671295353228</v>
      </c>
      <c r="K189" s="140">
        <f t="shared" si="23"/>
        <v>26.328608112312992</v>
      </c>
      <c r="L189" s="139"/>
      <c r="M189" s="82"/>
    </row>
    <row r="190" spans="1:13" s="16" customFormat="1" ht="12.75">
      <c r="A190" s="262">
        <f aca="true" t="shared" si="24" ref="A190:A199">A189+0.5</f>
        <v>5.500000000000003</v>
      </c>
      <c r="B190" s="106">
        <f t="shared" si="14"/>
        <v>23.336340371167015</v>
      </c>
      <c r="C190" s="322">
        <f t="shared" si="15"/>
        <v>21.837018606135683</v>
      </c>
      <c r="D190" s="106">
        <f t="shared" si="16"/>
        <v>10.3959314896864</v>
      </c>
      <c r="E190" s="90">
        <f t="shared" si="17"/>
        <v>7.9596077373359595</v>
      </c>
      <c r="F190" s="89">
        <f t="shared" si="18"/>
        <v>10.136920016566458</v>
      </c>
      <c r="G190" s="82">
        <f t="shared" si="19"/>
        <v>7.365624301155639</v>
      </c>
      <c r="H190" s="106">
        <f t="shared" si="20"/>
        <v>2.706218462689728</v>
      </c>
      <c r="I190" s="138">
        <f t="shared" si="21"/>
        <v>26.80889716788002</v>
      </c>
      <c r="J190" s="110">
        <f t="shared" si="22"/>
        <v>2.5052843401545406</v>
      </c>
      <c r="K190" s="140">
        <f t="shared" si="23"/>
        <v>25.616278596866607</v>
      </c>
      <c r="L190" s="139"/>
      <c r="M190" s="82"/>
    </row>
    <row r="191" spans="1:13" s="16" customFormat="1" ht="12.75">
      <c r="A191" s="262">
        <f t="shared" si="24"/>
        <v>6.000000000000003</v>
      </c>
      <c r="B191" s="106">
        <f t="shared" si="14"/>
        <v>24.640746041910216</v>
      </c>
      <c r="C191" s="322">
        <f t="shared" si="15"/>
        <v>23.082834902898455</v>
      </c>
      <c r="D191" s="106">
        <f t="shared" si="16"/>
        <v>11.212801623941527</v>
      </c>
      <c r="E191" s="90">
        <f t="shared" si="17"/>
        <v>8.366433557268216</v>
      </c>
      <c r="F191" s="89">
        <f t="shared" si="18"/>
        <v>10.935332531552028</v>
      </c>
      <c r="G191" s="82">
        <f t="shared" si="19"/>
        <v>7.742865337225709</v>
      </c>
      <c r="H191" s="106">
        <f t="shared" si="20"/>
        <v>2.8614136565390735</v>
      </c>
      <c r="I191" s="138">
        <f t="shared" si="21"/>
        <v>26.149120872188696</v>
      </c>
      <c r="J191" s="110">
        <f t="shared" si="22"/>
        <v>2.649952569325211</v>
      </c>
      <c r="K191" s="140">
        <f t="shared" si="23"/>
        <v>24.972809505727284</v>
      </c>
      <c r="L191" s="139"/>
      <c r="M191" s="82"/>
    </row>
    <row r="192" spans="1:13" s="16" customFormat="1" ht="12.75">
      <c r="A192" s="262">
        <f t="shared" si="24"/>
        <v>6.500000000000003</v>
      </c>
      <c r="B192" s="106">
        <f t="shared" si="14"/>
        <v>25.913583067776003</v>
      </c>
      <c r="C192" s="322">
        <f t="shared" si="15"/>
        <v>24.299540385131774</v>
      </c>
      <c r="D192" s="106">
        <f t="shared" si="16"/>
        <v>12.020624749397928</v>
      </c>
      <c r="E192" s="90">
        <f t="shared" si="17"/>
        <v>8.757728560237053</v>
      </c>
      <c r="F192" s="89">
        <f t="shared" si="18"/>
        <v>11.725077070018843</v>
      </c>
      <c r="G192" s="82">
        <f t="shared" si="19"/>
        <v>8.105710328872458</v>
      </c>
      <c r="H192" s="106">
        <f t="shared" si="20"/>
        <v>3.0119076309130133</v>
      </c>
      <c r="I192" s="138">
        <f t="shared" si="21"/>
        <v>25.54765332428022</v>
      </c>
      <c r="J192" s="110">
        <f t="shared" si="22"/>
        <v>2.7901909823371893</v>
      </c>
      <c r="K192" s="140">
        <f t="shared" si="23"/>
        <v>24.386983488308843</v>
      </c>
      <c r="L192" s="139"/>
      <c r="M192" s="82"/>
    </row>
    <row r="193" spans="1:13" s="16" customFormat="1" ht="12.75">
      <c r="A193" s="262">
        <f t="shared" si="24"/>
        <v>7.000000000000003</v>
      </c>
      <c r="B193" s="106">
        <f t="shared" si="14"/>
        <v>27.15835868920885</v>
      </c>
      <c r="C193" s="322">
        <f t="shared" si="15"/>
        <v>25.490370314500684</v>
      </c>
      <c r="D193" s="106">
        <f t="shared" si="16"/>
        <v>12.820212061669716</v>
      </c>
      <c r="E193" s="90">
        <f t="shared" si="17"/>
        <v>9.135154839606836</v>
      </c>
      <c r="F193" s="89">
        <f t="shared" si="18"/>
        <v>12.506943275355372</v>
      </c>
      <c r="G193" s="82">
        <f t="shared" si="19"/>
        <v>8.455707907933455</v>
      </c>
      <c r="H193" s="106">
        <f t="shared" si="20"/>
        <v>3.158150104645366</v>
      </c>
      <c r="I193" s="138">
        <f t="shared" si="21"/>
        <v>24.99574768290644</v>
      </c>
      <c r="J193" s="110">
        <f t="shared" si="22"/>
        <v>2.9264276069249746</v>
      </c>
      <c r="K193" s="140">
        <f t="shared" si="23"/>
        <v>23.850070972249057</v>
      </c>
      <c r="L193" s="139"/>
      <c r="M193" s="82"/>
    </row>
    <row r="194" spans="1:13" s="16" customFormat="1" ht="12.75">
      <c r="A194" s="262">
        <f t="shared" si="24"/>
        <v>7.500000000000003</v>
      </c>
      <c r="B194" s="106">
        <f t="shared" si="14"/>
        <v>28.377973266323643</v>
      </c>
      <c r="C194" s="322">
        <f t="shared" si="15"/>
        <v>26.657999413624374</v>
      </c>
      <c r="D194" s="106">
        <f t="shared" si="16"/>
        <v>13.612255238519376</v>
      </c>
      <c r="E194" s="90">
        <f t="shared" si="17"/>
        <v>9.50009670297869</v>
      </c>
      <c r="F194" s="89">
        <f t="shared" si="18"/>
        <v>13.281602980129364</v>
      </c>
      <c r="G194" s="82">
        <f t="shared" si="19"/>
        <v>8.794146546611929</v>
      </c>
      <c r="H194" s="106">
        <f t="shared" si="20"/>
        <v>3.300520642461189</v>
      </c>
      <c r="I194" s="138">
        <f t="shared" si="21"/>
        <v>24.48645455169367</v>
      </c>
      <c r="J194" s="110">
        <f t="shared" si="22"/>
        <v>3.0590231421384058</v>
      </c>
      <c r="K194" s="140">
        <f t="shared" si="23"/>
        <v>23.355149466452687</v>
      </c>
      <c r="L194" s="139"/>
      <c r="M194" s="82"/>
    </row>
    <row r="195" spans="1:13" s="16" customFormat="1" ht="12.75">
      <c r="A195" s="262">
        <f t="shared" si="24"/>
        <v>8.000000000000004</v>
      </c>
      <c r="B195" s="106">
        <f t="shared" si="14"/>
        <v>29.57485802286306</v>
      </c>
      <c r="C195" s="322">
        <f t="shared" si="15"/>
        <v>27.804669294868273</v>
      </c>
      <c r="D195" s="106">
        <f t="shared" si="16"/>
        <v>14.397350313184731</v>
      </c>
      <c r="E195" s="90">
        <f t="shared" si="17"/>
        <v>9.853721819692002</v>
      </c>
      <c r="F195" s="89">
        <f t="shared" si="18"/>
        <v>14.049633979238488</v>
      </c>
      <c r="G195" s="82">
        <f t="shared" si="19"/>
        <v>9.122112092660302</v>
      </c>
      <c r="H195" s="106">
        <f t="shared" si="20"/>
        <v>3.4393433667913653</v>
      </c>
      <c r="I195" s="138">
        <f t="shared" si="21"/>
        <v>24.014163868881255</v>
      </c>
      <c r="J195" s="110">
        <f t="shared" si="22"/>
        <v>3.1882851817556555</v>
      </c>
      <c r="K195" s="140">
        <f t="shared" si="23"/>
        <v>22.896640229536075</v>
      </c>
      <c r="L195" s="139"/>
      <c r="M195" s="82"/>
    </row>
    <row r="196" spans="1:13" s="16" customFormat="1" ht="12.75">
      <c r="A196" s="262">
        <f t="shared" si="24"/>
        <v>8.500000000000004</v>
      </c>
      <c r="B196" s="106">
        <f t="shared" si="14"/>
        <v>30.751074999687052</v>
      </c>
      <c r="C196" s="322">
        <f t="shared" si="15"/>
        <v>28.93228086914856</v>
      </c>
      <c r="D196" s="106">
        <f t="shared" si="16"/>
        <v>15.176015652938341</v>
      </c>
      <c r="E196" s="90">
        <f t="shared" si="17"/>
        <v>10.197026036758853</v>
      </c>
      <c r="F196" s="89">
        <f t="shared" si="18"/>
        <v>14.811537882857717</v>
      </c>
      <c r="G196" s="82">
        <f t="shared" si="19"/>
        <v>9.440529873480196</v>
      </c>
      <c r="H196" s="106">
        <f t="shared" si="20"/>
        <v>3.574897883579445</v>
      </c>
      <c r="I196" s="138">
        <f t="shared" si="21"/>
        <v>23.574283682580983</v>
      </c>
      <c r="J196" s="110">
        <f t="shared" si="22"/>
        <v>3.314478752693585</v>
      </c>
      <c r="K196" s="140">
        <f t="shared" si="23"/>
        <v>22.469984090049977</v>
      </c>
      <c r="L196" s="139"/>
      <c r="M196" s="82"/>
    </row>
    <row r="197" spans="1:13" s="16" customFormat="1" ht="12.75">
      <c r="A197" s="262">
        <f t="shared" si="24"/>
        <v>9.000000000000004</v>
      </c>
      <c r="B197" s="106">
        <f t="shared" si="14"/>
        <v>31.908391171114673</v>
      </c>
      <c r="C197" s="322">
        <f t="shared" si="15"/>
        <v>30.042462830890457</v>
      </c>
      <c r="D197" s="106">
        <f t="shared" si="16"/>
        <v>15.948705748353545</v>
      </c>
      <c r="E197" s="90">
        <f t="shared" si="17"/>
        <v>10.530866908239535</v>
      </c>
      <c r="F197" s="89">
        <f t="shared" si="18"/>
        <v>15.567753774544652</v>
      </c>
      <c r="G197" s="82">
        <f t="shared" si="19"/>
        <v>9.75019615393715</v>
      </c>
      <c r="H197" s="106">
        <f t="shared" si="20"/>
        <v>3.7074275568658503</v>
      </c>
      <c r="I197" s="138">
        <f t="shared" si="21"/>
        <v>23.16300953814168</v>
      </c>
      <c r="J197" s="110">
        <f t="shared" si="22"/>
        <v>3.437834279878328</v>
      </c>
      <c r="K197" s="140">
        <f t="shared" si="23"/>
        <v>22.071409169597572</v>
      </c>
      <c r="L197" s="139"/>
      <c r="M197" s="82"/>
    </row>
    <row r="198" spans="1:13" s="16" customFormat="1" ht="12.75">
      <c r="A198" s="262">
        <f t="shared" si="24"/>
        <v>9.500000000000004</v>
      </c>
      <c r="B198" s="106">
        <f t="shared" si="14"/>
        <v>33.04833444946742</v>
      </c>
      <c r="C198" s="322">
        <f t="shared" si="15"/>
        <v>31.136623383769813</v>
      </c>
      <c r="D198" s="106">
        <f t="shared" si="16"/>
        <v>16.715821960200532</v>
      </c>
      <c r="E198" s="90">
        <f t="shared" si="17"/>
        <v>10.855989235684671</v>
      </c>
      <c r="F198" s="89">
        <f t="shared" si="18"/>
        <v>16.318668831194685</v>
      </c>
      <c r="G198" s="82">
        <f t="shared" si="19"/>
        <v>10.051802069763578</v>
      </c>
      <c r="H198" s="106">
        <f t="shared" si="20"/>
        <v>3.837145883796058</v>
      </c>
      <c r="I198" s="138">
        <f t="shared" si="21"/>
        <v>22.77715547564594</v>
      </c>
      <c r="J198" s="110">
        <f t="shared" si="22"/>
        <v>3.55855371154247</v>
      </c>
      <c r="K198" s="140">
        <f t="shared" si="23"/>
        <v>21.697760965348806</v>
      </c>
      <c r="L198" s="139"/>
      <c r="M198" s="82"/>
    </row>
    <row r="199" spans="1:13" s="16" customFormat="1" ht="13.5" thickBot="1">
      <c r="A199" s="263">
        <f t="shared" si="24"/>
        <v>10.000000000000004</v>
      </c>
      <c r="B199" s="107">
        <f t="shared" si="14"/>
        <v>34.1722367125074</v>
      </c>
      <c r="C199" s="323">
        <f t="shared" si="15"/>
        <v>32.21598996542748</v>
      </c>
      <c r="D199" s="107">
        <f t="shared" si="16"/>
        <v>17.477721014540002</v>
      </c>
      <c r="E199" s="102">
        <f t="shared" si="17"/>
        <v>11.173044833985887</v>
      </c>
      <c r="F199" s="100">
        <f t="shared" si="18"/>
        <v>17.064626699889985</v>
      </c>
      <c r="G199" s="101">
        <f t="shared" si="19"/>
        <v>10.345952129477908</v>
      </c>
      <c r="H199" s="107">
        <f t="shared" si="20"/>
        <v>3.9642414809713067</v>
      </c>
      <c r="I199" s="141">
        <f t="shared" si="21"/>
        <v>22.41402791246864</v>
      </c>
      <c r="J199" s="111">
        <f t="shared" si="22"/>
        <v>3.676815302527933</v>
      </c>
      <c r="K199" s="112">
        <f t="shared" si="23"/>
        <v>21.34637575791362</v>
      </c>
      <c r="L199" s="139"/>
      <c r="M199" s="82"/>
    </row>
    <row r="200" spans="1:38" s="2" customFormat="1" ht="12.75">
      <c r="A200" s="3"/>
      <c r="B200" s="3"/>
      <c r="C200" s="3"/>
      <c r="D200" s="3"/>
      <c r="E200" s="3"/>
      <c r="F200" s="3"/>
      <c r="G200" s="3"/>
      <c r="H200" s="16"/>
      <c r="I200" s="91"/>
      <c r="J200" s="16"/>
      <c r="K200" s="16"/>
      <c r="L200" s="3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</row>
    <row r="201" spans="1:8" s="3" customFormat="1" ht="15">
      <c r="A201" s="76" t="s">
        <v>82</v>
      </c>
      <c r="H201" s="48"/>
    </row>
    <row r="202" spans="1:13" s="3" customFormat="1" ht="13.5" thickBot="1">
      <c r="A202" s="76"/>
      <c r="H202" s="48"/>
      <c r="L202" s="21"/>
      <c r="M202" s="88"/>
    </row>
    <row r="203" spans="1:13" s="3" customFormat="1" ht="12.75">
      <c r="A203" s="188"/>
      <c r="B203" s="103"/>
      <c r="C203" s="318" t="s">
        <v>130</v>
      </c>
      <c r="D203" s="103" t="s">
        <v>95</v>
      </c>
      <c r="E203" s="95"/>
      <c r="F203" s="241" t="s">
        <v>93</v>
      </c>
      <c r="G203" s="222"/>
      <c r="H203" s="103" t="s">
        <v>95</v>
      </c>
      <c r="I203" s="95"/>
      <c r="J203" s="241" t="s">
        <v>93</v>
      </c>
      <c r="K203" s="96"/>
      <c r="L203" s="93"/>
      <c r="M203" s="88"/>
    </row>
    <row r="204" spans="1:13" s="3" customFormat="1" ht="12" customHeight="1">
      <c r="A204" s="189"/>
      <c r="B204" s="104" t="s">
        <v>114</v>
      </c>
      <c r="C204" s="319" t="s">
        <v>129</v>
      </c>
      <c r="D204" s="171" t="s">
        <v>96</v>
      </c>
      <c r="E204" s="172"/>
      <c r="F204" s="173" t="s">
        <v>94</v>
      </c>
      <c r="G204" s="223"/>
      <c r="H204" s="171" t="s">
        <v>96</v>
      </c>
      <c r="I204" s="172"/>
      <c r="J204" s="173" t="s">
        <v>94</v>
      </c>
      <c r="K204" s="174"/>
      <c r="L204" s="84"/>
      <c r="M204" s="88"/>
    </row>
    <row r="205" spans="1:21" s="3" customFormat="1" ht="14.25">
      <c r="A205" s="190" t="s">
        <v>68</v>
      </c>
      <c r="B205" s="105" t="s">
        <v>69</v>
      </c>
      <c r="C205" s="320" t="s">
        <v>69</v>
      </c>
      <c r="D205" s="108" t="s">
        <v>70</v>
      </c>
      <c r="E205" s="85" t="s">
        <v>71</v>
      </c>
      <c r="F205" s="92" t="s">
        <v>70</v>
      </c>
      <c r="G205" s="85" t="s">
        <v>71</v>
      </c>
      <c r="H205" s="224" t="s">
        <v>72</v>
      </c>
      <c r="I205" s="134" t="s">
        <v>73</v>
      </c>
      <c r="J205" s="135" t="s">
        <v>72</v>
      </c>
      <c r="K205" s="136" t="s">
        <v>73</v>
      </c>
      <c r="L205" s="22"/>
      <c r="M205" s="22"/>
      <c r="N205" s="227"/>
      <c r="O205" s="227"/>
      <c r="P205" s="22"/>
      <c r="Q205" s="22"/>
      <c r="R205" s="84"/>
      <c r="S205" s="84"/>
      <c r="T205" s="84"/>
      <c r="U205" s="84"/>
    </row>
    <row r="206" spans="1:31" s="3" customFormat="1" ht="12.75">
      <c r="A206" s="191" t="s">
        <v>34</v>
      </c>
      <c r="B206" s="104" t="s">
        <v>34</v>
      </c>
      <c r="C206" s="319" t="s">
        <v>34</v>
      </c>
      <c r="D206" s="104" t="s">
        <v>34</v>
      </c>
      <c r="E206" s="81" t="s">
        <v>34</v>
      </c>
      <c r="F206" s="29" t="s">
        <v>34</v>
      </c>
      <c r="G206" s="81" t="s">
        <v>34</v>
      </c>
      <c r="H206" s="104" t="s">
        <v>83</v>
      </c>
      <c r="I206" s="81" t="s">
        <v>78</v>
      </c>
      <c r="J206" s="29" t="s">
        <v>83</v>
      </c>
      <c r="K206" s="109" t="s">
        <v>78</v>
      </c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spans="1:31" s="3" customFormat="1" ht="12.75">
      <c r="A207" s="182"/>
      <c r="B207" s="22"/>
      <c r="C207" s="321"/>
      <c r="D207" s="82">
        <f>D148</f>
        <v>0.0004725536502365735</v>
      </c>
      <c r="E207" s="90">
        <f>E148</f>
        <v>0.2402467914525843</v>
      </c>
      <c r="F207" s="82">
        <f>F148</f>
        <v>0.00017694254139805077</v>
      </c>
      <c r="G207" s="82">
        <f>G148</f>
        <v>0.18072551798571396</v>
      </c>
      <c r="H207" s="225"/>
      <c r="I207" s="73"/>
      <c r="J207" s="22"/>
      <c r="K207" s="137"/>
      <c r="L207" s="113"/>
      <c r="M207" s="113"/>
      <c r="N207" s="82"/>
      <c r="O207" s="82"/>
      <c r="P207" s="228"/>
      <c r="Q207" s="228"/>
      <c r="R207" s="27"/>
      <c r="S207" s="27"/>
      <c r="T207" s="82"/>
      <c r="U207" s="8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spans="1:29" s="3" customFormat="1" ht="12.75">
      <c r="A208" s="183">
        <v>0</v>
      </c>
      <c r="B208" s="106">
        <f aca="true" t="shared" si="25" ref="B208:B253">A208+$J$114*($J$121*A208/$J$114+$J$122)^$J$123</f>
        <v>1.9995218076668821</v>
      </c>
      <c r="C208" s="322">
        <f aca="true" t="shared" si="26" ref="C208:C253">A208+$J$114*($J$129*A208/$J$114+$J$130)^$J$131</f>
        <v>1.5408095552561474</v>
      </c>
      <c r="D208" s="82">
        <f aca="true" t="shared" si="27" ref="D208:D253">(B208+A208)/2-((B208-A208)/2*((1+$J$123*$J$121*($J$121*A208/$J$114+$J$122)^($J$123-1))-1)/((1+$J$123*$J$121*($J$121*A208/$J$114+$J$122)^($J$123-1))+1))</f>
        <v>0.13315317506341307</v>
      </c>
      <c r="E208" s="90">
        <f aca="true" t="shared" si="28" ref="E208:E253">(B208-A208)*SQRT(1+$J$123*$J$121*($J$121*A208/$J$114+$J$122)^($J$123-1))/((1+$J$123*$J$121*($J$121*A208/$J$114+$J$122)^($J$123-1))+1)</f>
        <v>0.4985106912292981</v>
      </c>
      <c r="F208" s="82">
        <f aca="true" t="shared" si="29" ref="F208:F253">(C208+A208)/2-((C208-A208)/2*((1+$J$131*$J$129*($J$129*A208/$J$114+$J$130)^($J$131-1))-1)/((1+$J$131*$J$129*($J$129*A208/$J$114+$J$130)^($J$131-1))+1))</f>
        <v>0.09829484612275852</v>
      </c>
      <c r="G208" s="82">
        <f aca="true" t="shared" si="30" ref="G208:G253">(C208-A208)*SQRT(1+$J$131*$J$129*($J$129*A208/$J$114+$J$130)^($J$131-1))/((1+$J$131*$J$129*($J$129*A208/$J$114+$J$130)^($J$131-1))+1)</f>
        <v>0.376552468275116</v>
      </c>
      <c r="H208" s="226">
        <f aca="true" t="shared" si="31" ref="H208:H253">1000*(E208-D208*TAN(RADIANS(I208)))</f>
        <v>267.0380816134973</v>
      </c>
      <c r="I208" s="138">
        <f aca="true" t="shared" si="32" ref="I208:I253">90-DEGREES(ASIN(2*E208/(B208-A208)))</f>
        <v>60.09060298892224</v>
      </c>
      <c r="J208" s="113">
        <f aca="true" t="shared" si="33" ref="J208:J253">1000*(G208-F208*TAN(RADIANS(K208)))</f>
        <v>201.105623914971</v>
      </c>
      <c r="K208" s="140">
        <f aca="true" t="shared" si="34" ref="K208:K253">90-DEGREES(ASIN(2*G208/(C208-A208)))</f>
        <v>60.74008367704255</v>
      </c>
      <c r="L208" s="113"/>
      <c r="M208" s="82"/>
      <c r="N208" s="2"/>
      <c r="O208" s="2"/>
      <c r="P208" s="82"/>
      <c r="Q208" s="82"/>
      <c r="R208" s="175"/>
      <c r="S208" s="175"/>
      <c r="T208" s="82"/>
      <c r="U208" s="82"/>
      <c r="V208" s="82"/>
      <c r="W208" s="82"/>
      <c r="X208" s="82"/>
      <c r="Y208" s="24"/>
      <c r="Z208" s="82"/>
      <c r="AA208" s="24"/>
      <c r="AB208" s="2"/>
      <c r="AC208" s="2"/>
    </row>
    <row r="209" spans="1:21" s="3" customFormat="1" ht="12.75">
      <c r="A209" s="264">
        <v>0.01</v>
      </c>
      <c r="B209" s="106">
        <f t="shared" si="25"/>
        <v>2.1359149752177684</v>
      </c>
      <c r="C209" s="322">
        <f t="shared" si="26"/>
        <v>1.6823540895393105</v>
      </c>
      <c r="D209" s="106">
        <f t="shared" si="27"/>
        <v>0.15883629415392253</v>
      </c>
      <c r="E209" s="90">
        <f t="shared" si="28"/>
        <v>0.5424583524476954</v>
      </c>
      <c r="F209" s="89">
        <f t="shared" si="29"/>
        <v>0.12397767097888934</v>
      </c>
      <c r="G209" s="82">
        <f t="shared" si="30"/>
        <v>0.42145001446902297</v>
      </c>
      <c r="H209" s="226">
        <f t="shared" si="31"/>
        <v>274.7961031325335</v>
      </c>
      <c r="I209" s="138">
        <f t="shared" si="32"/>
        <v>59.31423314459282</v>
      </c>
      <c r="J209" s="113">
        <f t="shared" si="33"/>
        <v>209.00110410939956</v>
      </c>
      <c r="K209" s="140">
        <f t="shared" si="34"/>
        <v>59.73367584477599</v>
      </c>
      <c r="L209" s="113"/>
      <c r="M209" s="82"/>
      <c r="N209" s="2"/>
      <c r="O209" s="2"/>
      <c r="P209" s="120"/>
      <c r="Q209" s="120"/>
      <c r="R209" s="22"/>
      <c r="S209" s="2"/>
      <c r="T209" s="2"/>
      <c r="U209" s="2"/>
    </row>
    <row r="210" spans="1:38" s="16" customFormat="1" ht="12.75">
      <c r="A210" s="264">
        <v>0.02</v>
      </c>
      <c r="B210" s="106">
        <f t="shared" si="25"/>
        <v>2.265569282424029</v>
      </c>
      <c r="C210" s="322">
        <f t="shared" si="26"/>
        <v>1.8149131556792786</v>
      </c>
      <c r="D210" s="106">
        <f t="shared" si="27"/>
        <v>0.18434636958826223</v>
      </c>
      <c r="E210" s="90">
        <f t="shared" si="28"/>
        <v>0.5848430815427901</v>
      </c>
      <c r="F210" s="89">
        <f t="shared" si="29"/>
        <v>0.1494439961153119</v>
      </c>
      <c r="G210" s="82">
        <f t="shared" si="30"/>
        <v>0.46431130012177163</v>
      </c>
      <c r="H210" s="226">
        <f t="shared" si="31"/>
        <v>282.7370612711621</v>
      </c>
      <c r="I210" s="138">
        <f t="shared" si="32"/>
        <v>58.60828179821134</v>
      </c>
      <c r="J210" s="113">
        <f t="shared" si="33"/>
        <v>217.11751170951504</v>
      </c>
      <c r="K210" s="140">
        <f t="shared" si="34"/>
        <v>58.84443234408229</v>
      </c>
      <c r="L210" s="113"/>
      <c r="M210" s="82"/>
      <c r="N210" s="229"/>
      <c r="O210" s="230"/>
      <c r="P210" s="185"/>
      <c r="T210" s="2"/>
      <c r="U210" s="2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13" s="16" customFormat="1" ht="12.75">
      <c r="A211" s="264">
        <v>0.03</v>
      </c>
      <c r="B211" s="106">
        <f t="shared" si="25"/>
        <v>2.3894758511019565</v>
      </c>
      <c r="C211" s="322">
        <f t="shared" si="26"/>
        <v>1.9401433932827001</v>
      </c>
      <c r="D211" s="106">
        <f t="shared" si="27"/>
        <v>0.20969580549596012</v>
      </c>
      <c r="E211" s="90">
        <f t="shared" si="28"/>
        <v>0.6258572769403505</v>
      </c>
      <c r="F211" s="89">
        <f t="shared" si="29"/>
        <v>0.1747134969623907</v>
      </c>
      <c r="G211" s="82">
        <f t="shared" si="30"/>
        <v>0.5054518116877836</v>
      </c>
      <c r="H211" s="226">
        <f t="shared" si="31"/>
        <v>290.7894497833112</v>
      </c>
      <c r="I211" s="138">
        <f t="shared" si="32"/>
        <v>57.96039458686826</v>
      </c>
      <c r="J211" s="113">
        <f t="shared" si="33"/>
        <v>225.344961570265</v>
      </c>
      <c r="K211" s="140">
        <f t="shared" si="34"/>
        <v>58.046611532367095</v>
      </c>
      <c r="L211" s="113"/>
      <c r="M211" s="82"/>
    </row>
    <row r="212" spans="1:13" s="16" customFormat="1" ht="12.75">
      <c r="A212" s="264">
        <v>0.04</v>
      </c>
      <c r="B212" s="106">
        <f t="shared" si="25"/>
        <v>2.5084036767208406</v>
      </c>
      <c r="C212" s="322">
        <f t="shared" si="26"/>
        <v>2.059245784165035</v>
      </c>
      <c r="D212" s="106">
        <f t="shared" si="27"/>
        <v>0.23489515062229205</v>
      </c>
      <c r="E212" s="90">
        <f t="shared" si="28"/>
        <v>0.6656544048040555</v>
      </c>
      <c r="F212" s="89">
        <f t="shared" si="29"/>
        <v>0.19980218915533843</v>
      </c>
      <c r="G212" s="82">
        <f t="shared" si="30"/>
        <v>0.5451083902247534</v>
      </c>
      <c r="H212" s="226">
        <f t="shared" si="31"/>
        <v>298.90538429563463</v>
      </c>
      <c r="I212" s="138">
        <f t="shared" si="32"/>
        <v>57.36127972802204</v>
      </c>
      <c r="J212" s="113">
        <f t="shared" si="33"/>
        <v>233.61797863088617</v>
      </c>
      <c r="K212" s="140">
        <f t="shared" si="34"/>
        <v>57.32229247902166</v>
      </c>
      <c r="L212" s="113"/>
      <c r="M212" s="82"/>
    </row>
    <row r="213" spans="1:13" s="16" customFormat="1" ht="12.75">
      <c r="A213" s="264">
        <v>0.05</v>
      </c>
      <c r="B213" s="106">
        <f t="shared" si="25"/>
        <v>2.622963717345705</v>
      </c>
      <c r="C213" s="322">
        <f t="shared" si="26"/>
        <v>2.173124136134597</v>
      </c>
      <c r="D213" s="106">
        <f t="shared" si="27"/>
        <v>0.25995350765897784</v>
      </c>
      <c r="E213" s="90">
        <f t="shared" si="28"/>
        <v>0.7043594836145143</v>
      </c>
      <c r="F213" s="89">
        <f t="shared" si="29"/>
        <v>0.22472341307878319</v>
      </c>
      <c r="G213" s="82">
        <f t="shared" si="30"/>
        <v>0.5834648441658514</v>
      </c>
      <c r="H213" s="226">
        <f t="shared" si="31"/>
        <v>307.05196174468955</v>
      </c>
      <c r="I213" s="138">
        <f t="shared" si="32"/>
        <v>56.80376132510924</v>
      </c>
      <c r="J213" s="113">
        <f t="shared" si="33"/>
        <v>241.89600519983674</v>
      </c>
      <c r="K213" s="140">
        <f t="shared" si="34"/>
        <v>56.658464772452525</v>
      </c>
      <c r="L213" s="113"/>
      <c r="M213" s="82"/>
    </row>
    <row r="214" spans="1:13" s="16" customFormat="1" ht="12.75">
      <c r="A214" s="264">
        <v>0.06</v>
      </c>
      <c r="B214" s="106">
        <f t="shared" si="25"/>
        <v>2.733650989836474</v>
      </c>
      <c r="C214" s="322">
        <f t="shared" si="26"/>
        <v>2.282478989949078</v>
      </c>
      <c r="D214" s="106">
        <f t="shared" si="27"/>
        <v>0.28487882716488655</v>
      </c>
      <c r="E214" s="90">
        <f t="shared" si="28"/>
        <v>0.7420761496878936</v>
      </c>
      <c r="F214" s="89">
        <f t="shared" si="29"/>
        <v>0.24948848555274905</v>
      </c>
      <c r="G214" s="82">
        <f t="shared" si="30"/>
        <v>0.6206676178287214</v>
      </c>
      <c r="H214" s="226">
        <f t="shared" si="31"/>
        <v>315.20612736915035</v>
      </c>
      <c r="I214" s="138">
        <f t="shared" si="32"/>
        <v>56.28217472408391</v>
      </c>
      <c r="J214" s="113">
        <f t="shared" si="33"/>
        <v>250.15326072104745</v>
      </c>
      <c r="K214" s="140">
        <f t="shared" si="34"/>
        <v>56.045365181661886</v>
      </c>
      <c r="L214" s="113"/>
      <c r="M214" s="82"/>
    </row>
    <row r="215" spans="1:13" s="16" customFormat="1" ht="12.75">
      <c r="A215" s="264">
        <v>0.07</v>
      </c>
      <c r="B215" s="106">
        <f t="shared" si="25"/>
        <v>2.840873252222894</v>
      </c>
      <c r="C215" s="322">
        <f t="shared" si="26"/>
        <v>2.387866476709495</v>
      </c>
      <c r="D215" s="106">
        <f t="shared" si="27"/>
        <v>0.30967812471376677</v>
      </c>
      <c r="E215" s="90">
        <f t="shared" si="28"/>
        <v>0.7788915851683158</v>
      </c>
      <c r="F215" s="89">
        <f t="shared" si="29"/>
        <v>0.27410715039542877</v>
      </c>
      <c r="G215" s="82">
        <f t="shared" si="30"/>
        <v>0.656835894813709</v>
      </c>
      <c r="H215" s="226">
        <f t="shared" si="31"/>
        <v>323.3514935251193</v>
      </c>
      <c r="I215" s="138">
        <f t="shared" si="32"/>
        <v>55.7919649532611</v>
      </c>
      <c r="J215" s="113">
        <f t="shared" si="33"/>
        <v>258.3731126175961</v>
      </c>
      <c r="K215" s="140">
        <f t="shared" si="34"/>
        <v>55.47546812513354</v>
      </c>
      <c r="L215" s="113"/>
      <c r="M215" s="82"/>
    </row>
    <row r="216" spans="1:13" s="16" customFormat="1" ht="12.75">
      <c r="A216" s="264">
        <v>0.08</v>
      </c>
      <c r="B216" s="106">
        <f t="shared" si="25"/>
        <v>2.944971155342703</v>
      </c>
      <c r="C216" s="322">
        <f t="shared" si="26"/>
        <v>2.4897369071952475</v>
      </c>
      <c r="D216" s="106">
        <f t="shared" si="27"/>
        <v>0.3343576452007988</v>
      </c>
      <c r="E216" s="90">
        <f t="shared" si="28"/>
        <v>0.8148800555720371</v>
      </c>
      <c r="F216" s="89">
        <f t="shared" si="29"/>
        <v>0.29858790104218313</v>
      </c>
      <c r="G216" s="82">
        <f t="shared" si="30"/>
        <v>0.6920683941097612</v>
      </c>
      <c r="H216" s="226">
        <f t="shared" si="31"/>
        <v>331.4762974942733</v>
      </c>
      <c r="I216" s="138">
        <f t="shared" si="32"/>
        <v>55.3294111747177</v>
      </c>
      <c r="J216" s="113">
        <f t="shared" si="33"/>
        <v>266.54478613591175</v>
      </c>
      <c r="K216" s="140">
        <f t="shared" si="34"/>
        <v>54.94284274440073</v>
      </c>
      <c r="L216" s="113"/>
      <c r="M216" s="82"/>
    </row>
    <row r="217" spans="1:13" s="16" customFormat="1" ht="12.75">
      <c r="A217" s="264">
        <v>0.09</v>
      </c>
      <c r="B217" s="106">
        <f t="shared" si="25"/>
        <v>3.0462327750261493</v>
      </c>
      <c r="C217" s="322">
        <f t="shared" si="26"/>
        <v>2.588461025855556</v>
      </c>
      <c r="D217" s="106">
        <f t="shared" si="27"/>
        <v>0.358922989720337</v>
      </c>
      <c r="E217" s="90">
        <f t="shared" si="28"/>
        <v>0.8501055121390261</v>
      </c>
      <c r="F217" s="89">
        <f t="shared" si="29"/>
        <v>0.3229382183104228</v>
      </c>
      <c r="G217" s="82">
        <f t="shared" si="30"/>
        <v>0.7264481029854715</v>
      </c>
      <c r="H217" s="226">
        <f t="shared" si="31"/>
        <v>339.57205095275776</v>
      </c>
      <c r="I217" s="138">
        <f t="shared" si="32"/>
        <v>54.891432278016346</v>
      </c>
      <c r="J217" s="113">
        <f t="shared" si="33"/>
        <v>274.66135929718376</v>
      </c>
      <c r="K217" s="140">
        <f t="shared" si="34"/>
        <v>54.442726957280975</v>
      </c>
      <c r="L217" s="113"/>
      <c r="M217" s="82"/>
    </row>
    <row r="218" spans="1:13" s="16" customFormat="1" ht="12.75">
      <c r="A218" s="264">
        <v>0.1</v>
      </c>
      <c r="B218" s="106">
        <f t="shared" si="25"/>
        <v>3.1449043297933765</v>
      </c>
      <c r="C218" s="322">
        <f t="shared" si="26"/>
        <v>2.684348433755236</v>
      </c>
      <c r="D218" s="106">
        <f t="shared" si="27"/>
        <v>0.3833792152732891</v>
      </c>
      <c r="E218" s="90">
        <f t="shared" si="28"/>
        <v>0.8846235470018768</v>
      </c>
      <c r="F218" s="89">
        <f t="shared" si="29"/>
        <v>0.34716474991428803</v>
      </c>
      <c r="G218" s="82">
        <f t="shared" si="30"/>
        <v>0.7600456701543022</v>
      </c>
      <c r="H218" s="226">
        <f t="shared" si="31"/>
        <v>347.6326239104179</v>
      </c>
      <c r="I218" s="138">
        <f t="shared" si="32"/>
        <v>54.47544640270437</v>
      </c>
      <c r="J218" s="113">
        <f t="shared" si="33"/>
        <v>282.71849824536247</v>
      </c>
      <c r="K218" s="140">
        <f t="shared" si="34"/>
        <v>53.97123578766115</v>
      </c>
      <c r="L218" s="113"/>
      <c r="M218" s="82"/>
    </row>
    <row r="219" spans="1:13" s="16" customFormat="1" ht="12.75">
      <c r="A219" s="264">
        <v>0.11</v>
      </c>
      <c r="B219" s="106">
        <f t="shared" si="25"/>
        <v>3.241198241262594</v>
      </c>
      <c r="C219" s="322">
        <f t="shared" si="26"/>
        <v>2.7776608605377056</v>
      </c>
      <c r="D219" s="106">
        <f t="shared" si="27"/>
        <v>0.4077309143278931</v>
      </c>
      <c r="E219" s="90">
        <f t="shared" si="28"/>
        <v>0.9184828893161159</v>
      </c>
      <c r="F219" s="89">
        <f t="shared" si="29"/>
        <v>0.37127344881461344</v>
      </c>
      <c r="G219" s="82">
        <f t="shared" si="30"/>
        <v>0.7929218992088461</v>
      </c>
      <c r="H219" s="226">
        <f t="shared" si="31"/>
        <v>355.6536096239677</v>
      </c>
      <c r="I219" s="138">
        <f t="shared" si="32"/>
        <v>54.079267295536866</v>
      </c>
      <c r="J219" s="113">
        <f t="shared" si="33"/>
        <v>290.7136363874625</v>
      </c>
      <c r="K219" s="140">
        <f t="shared" si="34"/>
        <v>53.52515596173856</v>
      </c>
      <c r="L219" s="113"/>
      <c r="M219" s="82"/>
    </row>
    <row r="220" spans="1:13" s="16" customFormat="1" ht="12.75">
      <c r="A220" s="264">
        <v>0.12</v>
      </c>
      <c r="B220" s="106">
        <f t="shared" si="25"/>
        <v>3.3352993010315792</v>
      </c>
      <c r="C220" s="322">
        <f t="shared" si="26"/>
        <v>2.868621944223407</v>
      </c>
      <c r="D220" s="106">
        <f t="shared" si="27"/>
        <v>0.43198227916237797</v>
      </c>
      <c r="E220" s="90">
        <f t="shared" si="28"/>
        <v>0.9517265687232236</v>
      </c>
      <c r="F220" s="89">
        <f t="shared" si="29"/>
        <v>0.39526968174834654</v>
      </c>
      <c r="G220" s="82">
        <f t="shared" si="30"/>
        <v>0.8251296202070694</v>
      </c>
      <c r="H220" s="226">
        <f t="shared" si="31"/>
        <v>363.6318758699608</v>
      </c>
      <c r="I220" s="138">
        <f t="shared" si="32"/>
        <v>53.70102643380689</v>
      </c>
      <c r="J220" s="113">
        <f t="shared" si="33"/>
        <v>298.64542859460784</v>
      </c>
      <c r="K220" s="140">
        <f t="shared" si="34"/>
        <v>53.10179772398842</v>
      </c>
      <c r="L220" s="113"/>
      <c r="M220" s="82"/>
    </row>
    <row r="221" spans="1:13" s="16" customFormat="1" ht="12.75">
      <c r="A221" s="264">
        <v>0.13</v>
      </c>
      <c r="B221" s="106">
        <f t="shared" si="25"/>
        <v>3.4273694611025975</v>
      </c>
      <c r="C221" s="322">
        <f t="shared" si="26"/>
        <v>2.957424580824864</v>
      </c>
      <c r="D221" s="106">
        <f t="shared" si="27"/>
        <v>0.45613715452286696</v>
      </c>
      <c r="E221" s="90">
        <f t="shared" si="28"/>
        <v>0.9843928331181248</v>
      </c>
      <c r="F221" s="89">
        <f t="shared" si="29"/>
        <v>0.4191583156875909</v>
      </c>
      <c r="G221" s="82">
        <f t="shared" si="30"/>
        <v>0.8567151206753189</v>
      </c>
      <c r="H221" s="226">
        <f t="shared" si="31"/>
        <v>371.56524259224597</v>
      </c>
      <c r="I221" s="138">
        <f t="shared" si="32"/>
        <v>53.33911355467566</v>
      </c>
      <c r="J221" s="113">
        <f t="shared" si="33"/>
        <v>306.51338083222123</v>
      </c>
      <c r="K221" s="140">
        <f t="shared" si="34"/>
        <v>52.69888566661049</v>
      </c>
      <c r="L221" s="113"/>
      <c r="M221" s="82"/>
    </row>
    <row r="222" spans="1:13" s="16" customFormat="1" ht="12.75">
      <c r="A222" s="264">
        <v>0.14</v>
      </c>
      <c r="B222" s="106">
        <f t="shared" si="25"/>
        <v>3.517551605856212</v>
      </c>
      <c r="C222" s="322">
        <f t="shared" si="26"/>
        <v>3.044236543838148</v>
      </c>
      <c r="D222" s="106">
        <f t="shared" si="27"/>
        <v>0.4801990811782919</v>
      </c>
      <c r="E222" s="90">
        <f t="shared" si="28"/>
        <v>1.0165158818778945</v>
      </c>
      <c r="F222" s="89">
        <f t="shared" si="29"/>
        <v>0.4429437876557618</v>
      </c>
      <c r="G222" s="82">
        <f t="shared" si="30"/>
        <v>0.8877192576256235</v>
      </c>
      <c r="H222" s="226">
        <f t="shared" si="31"/>
        <v>379.4522469385611</v>
      </c>
      <c r="I222" s="138">
        <f t="shared" si="32"/>
        <v>52.99213058018181</v>
      </c>
      <c r="J222" s="113">
        <f t="shared" si="33"/>
        <v>314.31759447096863</v>
      </c>
      <c r="K222" s="140">
        <f t="shared" si="34"/>
        <v>52.31447680611865</v>
      </c>
      <c r="L222" s="113"/>
      <c r="M222" s="82"/>
    </row>
    <row r="223" spans="1:13" s="16" customFormat="1" ht="12.75">
      <c r="A223" s="264">
        <v>0.15</v>
      </c>
      <c r="B223" s="106">
        <f t="shared" si="25"/>
        <v>3.605972558448144</v>
      </c>
      <c r="C223" s="322">
        <f t="shared" si="26"/>
        <v>3.129204847051003</v>
      </c>
      <c r="D223" s="106">
        <f t="shared" si="27"/>
        <v>0.5041713322909183</v>
      </c>
      <c r="E223" s="90">
        <f t="shared" si="28"/>
        <v>1.0481264583864434</v>
      </c>
      <c r="F223" s="89">
        <f t="shared" si="29"/>
        <v>0.4666301617850199</v>
      </c>
      <c r="G223" s="82">
        <f t="shared" si="30"/>
        <v>0.9181783341815832</v>
      </c>
      <c r="H223" s="226">
        <f t="shared" si="31"/>
        <v>387.2919697859367</v>
      </c>
      <c r="I223" s="138">
        <f t="shared" si="32"/>
        <v>52.65885545525436</v>
      </c>
      <c r="J223" s="113">
        <f t="shared" si="33"/>
        <v>322.05858719019295</v>
      </c>
      <c r="K223" s="140">
        <f t="shared" si="34"/>
        <v>51.94689809630254</v>
      </c>
      <c r="L223" s="113"/>
      <c r="M223" s="82"/>
    </row>
    <row r="224" spans="1:13" s="16" customFormat="1" ht="12.75">
      <c r="A224" s="264">
        <v>0.16</v>
      </c>
      <c r="B224" s="106">
        <f t="shared" si="25"/>
        <v>3.692745503469114</v>
      </c>
      <c r="C224" s="322">
        <f t="shared" si="26"/>
        <v>3.21245917816132</v>
      </c>
      <c r="D224" s="106">
        <f t="shared" si="27"/>
        <v>0.5280569440500591</v>
      </c>
      <c r="E224" s="90">
        <f t="shared" si="28"/>
        <v>1.0792523338172408</v>
      </c>
      <c r="F224" s="89">
        <f t="shared" si="29"/>
        <v>0.490221176448421</v>
      </c>
      <c r="G224" s="82">
        <f t="shared" si="30"/>
        <v>0.9481247995376093</v>
      </c>
      <c r="H224" s="226">
        <f t="shared" si="31"/>
        <v>395.08390620668365</v>
      </c>
      <c r="I224" s="138">
        <f t="shared" si="32"/>
        <v>52.338213432233715</v>
      </c>
      <c r="J224" s="113">
        <f t="shared" si="33"/>
        <v>329.7371660016851</v>
      </c>
      <c r="K224" s="140">
        <f t="shared" si="34"/>
        <v>51.5946980685779</v>
      </c>
      <c r="L224" s="113"/>
      <c r="M224" s="82"/>
    </row>
    <row r="225" spans="1:13" s="16" customFormat="1" ht="12.75">
      <c r="A225" s="264">
        <v>0.17</v>
      </c>
      <c r="B225" s="106">
        <f t="shared" si="25"/>
        <v>3.7779719587526635</v>
      </c>
      <c r="C225" s="322">
        <f t="shared" si="26"/>
        <v>3.2941146343400898</v>
      </c>
      <c r="D225" s="106">
        <f t="shared" si="27"/>
        <v>0.5518587416761864</v>
      </c>
      <c r="E225" s="90">
        <f t="shared" si="28"/>
        <v>1.109918705841891</v>
      </c>
      <c r="F225" s="89">
        <f t="shared" si="29"/>
        <v>0.5137202835692467</v>
      </c>
      <c r="G225" s="82">
        <f t="shared" si="30"/>
        <v>0.9775878143068713</v>
      </c>
      <c r="H225" s="226">
        <f t="shared" si="31"/>
        <v>402.8278677743051</v>
      </c>
      <c r="I225" s="138">
        <f t="shared" si="32"/>
        <v>52.02925402540534</v>
      </c>
      <c r="J225" s="113">
        <f t="shared" si="33"/>
        <v>337.35433632711454</v>
      </c>
      <c r="K225" s="140">
        <f t="shared" si="34"/>
        <v>51.25660891455551</v>
      </c>
      <c r="L225" s="113"/>
      <c r="M225" s="82"/>
    </row>
    <row r="226" spans="1:13" s="16" customFormat="1" ht="12.75">
      <c r="A226" s="264">
        <v>0.18</v>
      </c>
      <c r="B226" s="106">
        <f t="shared" si="25"/>
        <v>3.861743394869291</v>
      </c>
      <c r="C226" s="322">
        <f t="shared" si="26"/>
        <v>3.374273925825961</v>
      </c>
      <c r="D226" s="106">
        <f t="shared" si="27"/>
        <v>0.5755793616528728</v>
      </c>
      <c r="E226" s="90">
        <f t="shared" si="28"/>
        <v>1.140148530037372</v>
      </c>
      <c r="F226" s="89">
        <f t="shared" si="29"/>
        <v>0.5371306816915951</v>
      </c>
      <c r="G226" s="82">
        <f t="shared" si="30"/>
        <v>1.006593711898902</v>
      </c>
      <c r="H226" s="226">
        <f t="shared" si="31"/>
        <v>410.5239082314789</v>
      </c>
      <c r="I226" s="138">
        <f t="shared" si="32"/>
        <v>51.73113233634916</v>
      </c>
      <c r="J226" s="113">
        <f t="shared" si="33"/>
        <v>344.9112363767449</v>
      </c>
      <c r="K226" s="140">
        <f t="shared" si="34"/>
        <v>50.93151640421493</v>
      </c>
      <c r="L226" s="113"/>
      <c r="M226" s="82"/>
    </row>
    <row r="227" spans="1:13" s="16" customFormat="1" ht="12.75">
      <c r="A227" s="264">
        <v>0.19</v>
      </c>
      <c r="B227" s="106">
        <f t="shared" si="25"/>
        <v>3.9441425763540265</v>
      </c>
      <c r="C227" s="322">
        <f t="shared" si="26"/>
        <v>3.453029168846921</v>
      </c>
      <c r="D227" s="106">
        <f t="shared" si="27"/>
        <v>0.5992212708580864</v>
      </c>
      <c r="E227" s="90">
        <f t="shared" si="28"/>
        <v>1.1699627975091083</v>
      </c>
      <c r="F227" s="89">
        <f t="shared" si="29"/>
        <v>0.5604553440222608</v>
      </c>
      <c r="G227" s="82">
        <f t="shared" si="30"/>
        <v>1.0351663786006606</v>
      </c>
      <c r="H227" s="226">
        <f t="shared" si="31"/>
        <v>418.1722664943272</v>
      </c>
      <c r="I227" s="138">
        <f t="shared" si="32"/>
        <v>51.44309378668006</v>
      </c>
      <c r="J227" s="113">
        <f t="shared" si="33"/>
        <v>352.4090895096893</v>
      </c>
      <c r="K227" s="140">
        <f t="shared" si="34"/>
        <v>50.61843576443954</v>
      </c>
      <c r="L227" s="113"/>
      <c r="M227" s="82"/>
    </row>
    <row r="228" spans="1:13" s="16" customFormat="1" ht="12.75">
      <c r="A228" s="264">
        <v>0.2</v>
      </c>
      <c r="B228" s="106">
        <f t="shared" si="25"/>
        <v>4.02524468099083</v>
      </c>
      <c r="C228" s="322">
        <f t="shared" si="26"/>
        <v>3.530463357762004</v>
      </c>
      <c r="D228" s="106">
        <f t="shared" si="27"/>
        <v>0.6227867831262415</v>
      </c>
      <c r="E228" s="90">
        <f t="shared" si="28"/>
        <v>1.1993807691307388</v>
      </c>
      <c r="F228" s="89">
        <f t="shared" si="29"/>
        <v>0.5836970423798344</v>
      </c>
      <c r="G228" s="82">
        <f t="shared" si="30"/>
        <v>1.063327569376747</v>
      </c>
      <c r="H228" s="226">
        <f t="shared" si="31"/>
        <v>425.77332265358245</v>
      </c>
      <c r="I228" s="138">
        <f t="shared" si="32"/>
        <v>51.16446153461823</v>
      </c>
      <c r="J228" s="113">
        <f t="shared" si="33"/>
        <v>359.84916951592805</v>
      </c>
      <c r="K228" s="140">
        <f t="shared" si="34"/>
        <v>50.31649214795984</v>
      </c>
      <c r="L228" s="113"/>
      <c r="M228" s="82"/>
    </row>
    <row r="229" spans="1:13" s="16" customFormat="1" ht="12.75">
      <c r="A229" s="264">
        <v>0.22</v>
      </c>
      <c r="B229" s="106">
        <f t="shared" si="25"/>
        <v>4.183825936130207</v>
      </c>
      <c r="C229" s="322">
        <f t="shared" si="26"/>
        <v>3.68166205269866</v>
      </c>
      <c r="D229" s="106">
        <f t="shared" si="27"/>
        <v>0.669697191672243</v>
      </c>
      <c r="E229" s="90">
        <f t="shared" si="28"/>
        <v>1.2570973818910973</v>
      </c>
      <c r="F229" s="89">
        <f t="shared" si="29"/>
        <v>0.6299417482579674</v>
      </c>
      <c r="G229" s="82">
        <f t="shared" si="30"/>
        <v>1.118493431718199</v>
      </c>
      <c r="H229" s="226">
        <f t="shared" si="31"/>
        <v>440.8355574152774</v>
      </c>
      <c r="I229" s="138">
        <f t="shared" si="32"/>
        <v>50.63303625470542</v>
      </c>
      <c r="J229" s="113">
        <f t="shared" si="33"/>
        <v>374.56121227024573</v>
      </c>
      <c r="K229" s="140">
        <f t="shared" si="34"/>
        <v>49.74297330580949</v>
      </c>
      <c r="L229" s="113"/>
      <c r="M229" s="82"/>
    </row>
    <row r="230" spans="1:13" s="16" customFormat="1" ht="12.75">
      <c r="A230" s="264">
        <v>0.24</v>
      </c>
      <c r="B230" s="106">
        <f t="shared" si="25"/>
        <v>4.3379691747112386</v>
      </c>
      <c r="C230" s="322">
        <f t="shared" si="26"/>
        <v>3.8283931040881694</v>
      </c>
      <c r="D230" s="106">
        <f t="shared" si="27"/>
        <v>0.7163265420571954</v>
      </c>
      <c r="E230" s="90">
        <f t="shared" si="28"/>
        <v>1.3134247263467436</v>
      </c>
      <c r="F230" s="89">
        <f t="shared" si="29"/>
        <v>0.6758836625299198</v>
      </c>
      <c r="G230" s="82">
        <f t="shared" si="30"/>
        <v>1.1722317866132794</v>
      </c>
      <c r="H230" s="226">
        <f t="shared" si="31"/>
        <v>455.71535265429</v>
      </c>
      <c r="I230" s="138">
        <f t="shared" si="32"/>
        <v>50.13263966346207</v>
      </c>
      <c r="J230" s="113">
        <f t="shared" si="33"/>
        <v>389.0577581399316</v>
      </c>
      <c r="K230" s="140">
        <f t="shared" si="34"/>
        <v>49.20561916552405</v>
      </c>
      <c r="L230" s="113"/>
      <c r="M230" s="82"/>
    </row>
    <row r="231" spans="1:13" s="16" customFormat="1" ht="12.75">
      <c r="A231" s="264">
        <v>0.26</v>
      </c>
      <c r="B231" s="106">
        <f t="shared" si="25"/>
        <v>4.488082261440394</v>
      </c>
      <c r="C231" s="322">
        <f t="shared" si="26"/>
        <v>3.97109379593304</v>
      </c>
      <c r="D231" s="106">
        <f t="shared" si="27"/>
        <v>0.7626890980648133</v>
      </c>
      <c r="E231" s="90">
        <f t="shared" si="28"/>
        <v>1.3684716033714737</v>
      </c>
      <c r="F231" s="89">
        <f t="shared" si="29"/>
        <v>0.7215394916795876</v>
      </c>
      <c r="G231" s="82">
        <f t="shared" si="30"/>
        <v>1.224662256203871</v>
      </c>
      <c r="H231" s="226">
        <f t="shared" si="31"/>
        <v>470.4181651977659</v>
      </c>
      <c r="I231" s="138">
        <f t="shared" si="32"/>
        <v>49.65978190473882</v>
      </c>
      <c r="J231" s="113">
        <f t="shared" si="33"/>
        <v>403.34895922379997</v>
      </c>
      <c r="K231" s="140">
        <f t="shared" si="34"/>
        <v>48.70007363063642</v>
      </c>
      <c r="L231" s="113"/>
      <c r="M231" s="82"/>
    </row>
    <row r="232" spans="1:13" s="16" customFormat="1" ht="12.75">
      <c r="A232" s="264">
        <v>0.28</v>
      </c>
      <c r="B232" s="106">
        <f t="shared" si="25"/>
        <v>4.634513980603535</v>
      </c>
      <c r="C232" s="322">
        <f t="shared" si="26"/>
        <v>4.110134135705923</v>
      </c>
      <c r="D232" s="106">
        <f t="shared" si="27"/>
        <v>0.8087976973593967</v>
      </c>
      <c r="E232" s="90">
        <f t="shared" si="28"/>
        <v>1.4223325776096982</v>
      </c>
      <c r="F232" s="89">
        <f t="shared" si="29"/>
        <v>0.7669241472337365</v>
      </c>
      <c r="G232" s="82">
        <f t="shared" si="30"/>
        <v>1.2758877978333867</v>
      </c>
      <c r="H232" s="226">
        <f t="shared" si="31"/>
        <v>484.9497873180514</v>
      </c>
      <c r="I232" s="138">
        <f t="shared" si="32"/>
        <v>49.211540384450714</v>
      </c>
      <c r="J232" s="113">
        <f t="shared" si="33"/>
        <v>417.444529245262</v>
      </c>
      <c r="K232" s="140">
        <f t="shared" si="34"/>
        <v>48.22273492294652</v>
      </c>
      <c r="L232" s="113"/>
      <c r="M232" s="82"/>
    </row>
    <row r="233" spans="1:13" s="16" customFormat="1" ht="12.75">
      <c r="A233" s="264">
        <v>0.3</v>
      </c>
      <c r="B233" s="106">
        <f t="shared" si="25"/>
        <v>4.777565380034459</v>
      </c>
      <c r="C233" s="322">
        <f t="shared" si="26"/>
        <v>4.245830533802021</v>
      </c>
      <c r="D233" s="106">
        <f t="shared" si="27"/>
        <v>0.8546639625585355</v>
      </c>
      <c r="E233" s="90">
        <f t="shared" si="28"/>
        <v>1.475090520932086</v>
      </c>
      <c r="F233" s="89">
        <f t="shared" si="29"/>
        <v>0.8120510292552641</v>
      </c>
      <c r="G233" s="82">
        <f t="shared" si="30"/>
        <v>1.3259978618153192</v>
      </c>
      <c r="H233" s="226">
        <f t="shared" si="31"/>
        <v>499.31610939334195</v>
      </c>
      <c r="I233" s="138">
        <f t="shared" si="32"/>
        <v>48.785441913290676</v>
      </c>
      <c r="J233" s="113">
        <f t="shared" si="33"/>
        <v>431.3536531448994</v>
      </c>
      <c r="K233" s="140">
        <f t="shared" si="34"/>
        <v>47.770589300834715</v>
      </c>
      <c r="L233" s="113"/>
      <c r="M233" s="82"/>
    </row>
    <row r="234" spans="1:13" s="16" customFormat="1" ht="12.75">
      <c r="A234" s="264">
        <v>0.32</v>
      </c>
      <c r="B234" s="106">
        <f t="shared" si="25"/>
        <v>4.917498457539862</v>
      </c>
      <c r="C234" s="322">
        <f t="shared" si="26"/>
        <v>4.3784560989069865</v>
      </c>
      <c r="D234" s="106">
        <f t="shared" si="27"/>
        <v>0.9002984717040374</v>
      </c>
      <c r="E234" s="90">
        <f t="shared" si="28"/>
        <v>1.5268185918143675</v>
      </c>
      <c r="F234" s="89">
        <f t="shared" si="29"/>
        <v>0.8569322519273379</v>
      </c>
      <c r="G234" s="82">
        <f t="shared" si="30"/>
        <v>1.37507080885844</v>
      </c>
      <c r="H234" s="226">
        <f t="shared" si="31"/>
        <v>513.5229726887322</v>
      </c>
      <c r="I234" s="138">
        <f t="shared" si="32"/>
        <v>48.37937414190062</v>
      </c>
      <c r="J234" s="113">
        <f t="shared" si="33"/>
        <v>445.0849564371925</v>
      </c>
      <c r="K234" s="140">
        <f t="shared" si="34"/>
        <v>47.3410884776021</v>
      </c>
      <c r="L234" s="113"/>
      <c r="M234" s="82"/>
    </row>
    <row r="235" spans="1:13" s="16" customFormat="1" ht="12.75">
      <c r="A235" s="264">
        <v>0.34</v>
      </c>
      <c r="B235" s="106">
        <f t="shared" si="25"/>
        <v>5.0545429135801845</v>
      </c>
      <c r="C235" s="322">
        <f t="shared" si="26"/>
        <v>4.508248520015786</v>
      </c>
      <c r="D235" s="106">
        <f t="shared" si="27"/>
        <v>0.9457108975833739</v>
      </c>
      <c r="E235" s="90">
        <f t="shared" si="28"/>
        <v>1.5775817976982152</v>
      </c>
      <c r="F235" s="89">
        <f t="shared" si="29"/>
        <v>0.9015788254901498</v>
      </c>
      <c r="G235" s="82">
        <f t="shared" si="30"/>
        <v>1.4231757906114846</v>
      </c>
      <c r="H235" s="226">
        <f t="shared" si="31"/>
        <v>527.5760794299713</v>
      </c>
      <c r="I235" s="138">
        <f t="shared" si="32"/>
        <v>47.99151792781054</v>
      </c>
      <c r="J235" s="113">
        <f t="shared" si="33"/>
        <v>458.6465078177533</v>
      </c>
      <c r="K235" s="140">
        <f t="shared" si="34"/>
        <v>46.93205759005224</v>
      </c>
      <c r="L235" s="113"/>
      <c r="M235" s="82"/>
    </row>
    <row r="236" spans="1:13" s="16" customFormat="1" ht="12.75">
      <c r="A236" s="264">
        <v>0.36</v>
      </c>
      <c r="B236" s="106">
        <f t="shared" si="25"/>
        <v>5.188901471902215</v>
      </c>
      <c r="C236" s="322">
        <f t="shared" si="26"/>
        <v>4.635416192857554</v>
      </c>
      <c r="D236" s="106">
        <f t="shared" si="27"/>
        <v>0.9909101228053874</v>
      </c>
      <c r="E236" s="90">
        <f t="shared" si="28"/>
        <v>1.6274382438650727</v>
      </c>
      <c r="F236" s="89">
        <f t="shared" si="29"/>
        <v>0.9460008047370936</v>
      </c>
      <c r="G236" s="82">
        <f t="shared" si="30"/>
        <v>1.4703742334684748</v>
      </c>
      <c r="H236" s="226">
        <f t="shared" si="31"/>
        <v>541.4809397013724</v>
      </c>
      <c r="I236" s="138">
        <f t="shared" si="32"/>
        <v>47.62029493973204</v>
      </c>
      <c r="J236" s="113">
        <f t="shared" si="33"/>
        <v>472.0458397546704</v>
      </c>
      <c r="K236" s="140">
        <f t="shared" si="34"/>
        <v>46.54162497703628</v>
      </c>
      <c r="L236" s="113"/>
      <c r="M236" s="82"/>
    </row>
    <row r="237" spans="1:13" s="16" customFormat="1" ht="12.75">
      <c r="A237" s="264">
        <v>0.38</v>
      </c>
      <c r="B237" s="106">
        <f t="shared" si="25"/>
        <v>5.320754122843357</v>
      </c>
      <c r="C237" s="322">
        <f t="shared" si="26"/>
        <v>4.760143046491135</v>
      </c>
      <c r="D237" s="106">
        <f t="shared" si="27"/>
        <v>1.0359043357580795</v>
      </c>
      <c r="E237" s="90">
        <f t="shared" si="28"/>
        <v>1.6764401431072082</v>
      </c>
      <c r="F237" s="89">
        <f t="shared" si="29"/>
        <v>0.9902074115151</v>
      </c>
      <c r="G237" s="82">
        <f t="shared" si="30"/>
        <v>1.5167210242484483</v>
      </c>
      <c r="H237" s="226">
        <f t="shared" si="31"/>
        <v>555.242842172915</v>
      </c>
      <c r="I237" s="138">
        <f t="shared" si="32"/>
        <v>47.26432653938987</v>
      </c>
      <c r="J237" s="113">
        <f t="shared" si="33"/>
        <v>485.2899781881475</v>
      </c>
      <c r="K237" s="140">
        <f t="shared" si="34"/>
        <v>46.16816782084934</v>
      </c>
      <c r="L237" s="113"/>
      <c r="M237" s="82"/>
    </row>
    <row r="238" spans="1:13" s="16" customFormat="1" ht="12.75">
      <c r="A238" s="264">
        <v>0.4</v>
      </c>
      <c r="B238" s="106">
        <f t="shared" si="25"/>
        <v>5.450261544611565</v>
      </c>
      <c r="C238" s="322">
        <f t="shared" si="26"/>
        <v>4.882592392223629</v>
      </c>
      <c r="D238" s="106">
        <f t="shared" si="27"/>
        <v>1.0807011113152512</v>
      </c>
      <c r="E238" s="90">
        <f t="shared" si="28"/>
        <v>1.7246346404105273</v>
      </c>
      <c r="F238" s="89">
        <f t="shared" si="29"/>
        <v>1.0342071367519394</v>
      </c>
      <c r="G238" s="82">
        <f t="shared" si="30"/>
        <v>1.562265468475534</v>
      </c>
      <c r="H238" s="226">
        <f t="shared" si="31"/>
        <v>568.8668402805213</v>
      </c>
      <c r="I238" s="138">
        <f t="shared" si="32"/>
        <v>46.922401135576095</v>
      </c>
      <c r="J238" s="113">
        <f t="shared" si="33"/>
        <v>498.38547616680495</v>
      </c>
      <c r="K238" s="140">
        <f t="shared" si="34"/>
        <v>45.81026951966408</v>
      </c>
      <c r="L238" s="113"/>
      <c r="M238" s="82"/>
    </row>
    <row r="239" spans="1:13" s="16" customFormat="1" ht="12.75">
      <c r="A239" s="264">
        <v>0.42</v>
      </c>
      <c r="B239" s="106">
        <f t="shared" si="25"/>
        <v>5.577567889262022</v>
      </c>
      <c r="C239" s="322">
        <f t="shared" si="26"/>
        <v>5.0029100266586175</v>
      </c>
      <c r="D239" s="106">
        <f t="shared" si="27"/>
        <v>1.1253074792476858</v>
      </c>
      <c r="E239" s="90">
        <f t="shared" si="28"/>
        <v>1.772064492827922</v>
      </c>
      <c r="F239" s="89">
        <f t="shared" si="29"/>
        <v>1.078007826170066</v>
      </c>
      <c r="G239" s="82">
        <f t="shared" si="30"/>
        <v>1.6070520728568758</v>
      </c>
      <c r="H239" s="226">
        <f t="shared" si="31"/>
        <v>582.3577483933693</v>
      </c>
      <c r="I239" s="138">
        <f t="shared" si="32"/>
        <v>46.5934479894015</v>
      </c>
      <c r="J239" s="113">
        <f t="shared" si="33"/>
        <v>511.338448429743</v>
      </c>
      <c r="K239" s="140">
        <f t="shared" si="34"/>
        <v>45.46668586627246</v>
      </c>
      <c r="L239" s="113"/>
      <c r="M239" s="82"/>
    </row>
    <row r="240" spans="1:13" s="16" customFormat="1" ht="12.75">
      <c r="A240" s="264">
        <v>0.44</v>
      </c>
      <c r="B240" s="106">
        <f t="shared" si="25"/>
        <v>5.702803071931525</v>
      </c>
      <c r="C240" s="322">
        <f t="shared" si="26"/>
        <v>5.121226758374132</v>
      </c>
      <c r="D240" s="106">
        <f t="shared" si="27"/>
        <v>1.1697299826263117</v>
      </c>
      <c r="E240" s="90">
        <f t="shared" si="28"/>
        <v>1.8187686347368355</v>
      </c>
      <c r="F240" s="89">
        <f t="shared" si="29"/>
        <v>1.1216167528630416</v>
      </c>
      <c r="G240" s="82">
        <f t="shared" si="30"/>
        <v>1.6511211901841125</v>
      </c>
      <c r="H240" s="226">
        <f t="shared" si="31"/>
        <v>595.7201443660027</v>
      </c>
      <c r="I240" s="138">
        <f t="shared" si="32"/>
        <v>46.27651599245037</v>
      </c>
      <c r="J240" s="113">
        <f t="shared" si="33"/>
        <v>524.1546052414263</v>
      </c>
      <c r="K240" s="140">
        <f t="shared" si="34"/>
        <v>45.13631792771397</v>
      </c>
      <c r="L240" s="113"/>
      <c r="M240" s="82"/>
    </row>
    <row r="241" spans="1:13" s="16" customFormat="1" ht="12.75">
      <c r="A241" s="264">
        <v>0.46</v>
      </c>
      <c r="B241" s="106">
        <f t="shared" si="25"/>
        <v>5.826084667522164</v>
      </c>
      <c r="C241" s="322">
        <f t="shared" si="26"/>
        <v>5.237660483988779</v>
      </c>
      <c r="D241" s="106">
        <f t="shared" si="27"/>
        <v>1.2139747280075108</v>
      </c>
      <c r="E241" s="90">
        <f t="shared" si="28"/>
        <v>1.8647826514600294</v>
      </c>
      <c r="F241" s="89">
        <f t="shared" si="29"/>
        <v>1.1650406791897536</v>
      </c>
      <c r="G241" s="82">
        <f t="shared" si="30"/>
        <v>1.69450955537499</v>
      </c>
      <c r="H241" s="226">
        <f t="shared" si="31"/>
        <v>608.9583760844241</v>
      </c>
      <c r="I241" s="138">
        <f t="shared" si="32"/>
        <v>45.97075632146628</v>
      </c>
      <c r="J241" s="113">
        <f t="shared" si="33"/>
        <v>536.8392845641444</v>
      </c>
      <c r="K241" s="140">
        <f t="shared" si="34"/>
        <v>44.81819008687685</v>
      </c>
      <c r="L241" s="113"/>
      <c r="M241" s="82"/>
    </row>
    <row r="242" spans="1:13" s="16" customFormat="1" ht="12.75">
      <c r="A242" s="264">
        <v>0.48</v>
      </c>
      <c r="B242" s="106">
        <f t="shared" si="25"/>
        <v>5.947519494135539</v>
      </c>
      <c r="C242" s="322">
        <f t="shared" si="26"/>
        <v>5.352317908165778</v>
      </c>
      <c r="D242" s="106">
        <f t="shared" si="27"/>
        <v>1.2580474288161831</v>
      </c>
      <c r="E242" s="90">
        <f t="shared" si="28"/>
        <v>1.91013917894143</v>
      </c>
      <c r="F242" s="89">
        <f t="shared" si="29"/>
        <v>1.2082859099060759</v>
      </c>
      <c r="G242" s="82">
        <f t="shared" si="30"/>
        <v>1.7372507345033588</v>
      </c>
      <c r="H242" s="226">
        <f t="shared" si="31"/>
        <v>622.076570412532</v>
      </c>
      <c r="I242" s="138">
        <f t="shared" si="32"/>
        <v>45.6754081460966</v>
      </c>
      <c r="J242" s="113">
        <f t="shared" si="33"/>
        <v>549.3974821188215</v>
      </c>
      <c r="K242" s="140">
        <f t="shared" si="34"/>
        <v>44.511432105515176</v>
      </c>
      <c r="L242" s="113"/>
      <c r="M242" s="82"/>
    </row>
    <row r="243" spans="1:13" s="16" customFormat="1" ht="12.75">
      <c r="A243" s="264">
        <v>0.5</v>
      </c>
      <c r="B243" s="106">
        <f t="shared" si="25"/>
        <v>6.067204944288178</v>
      </c>
      <c r="C243" s="322">
        <f t="shared" si="26"/>
        <v>5.4652959795076015</v>
      </c>
      <c r="D243" s="106">
        <f t="shared" si="27"/>
        <v>1.3019534430564577</v>
      </c>
      <c r="E243" s="90">
        <f t="shared" si="28"/>
        <v>1.9548682432437057</v>
      </c>
      <c r="F243" s="89">
        <f t="shared" si="29"/>
        <v>1.2513583380503317</v>
      </c>
      <c r="G243" s="82">
        <f t="shared" si="30"/>
        <v>1.7793755036340893</v>
      </c>
      <c r="H243" s="226">
        <f t="shared" si="31"/>
        <v>635.0786434755294</v>
      </c>
      <c r="I243" s="138">
        <f t="shared" si="32"/>
        <v>45.38978676397178</v>
      </c>
      <c r="J243" s="113">
        <f t="shared" si="33"/>
        <v>561.8338791626187</v>
      </c>
      <c r="K243" s="140">
        <f t="shared" si="34"/>
        <v>44.215264352570635</v>
      </c>
      <c r="L243" s="113"/>
      <c r="M243" s="82"/>
    </row>
    <row r="244" spans="1:13" s="16" customFormat="1" ht="12.75">
      <c r="A244" s="264">
        <v>0.55</v>
      </c>
      <c r="B244" s="106">
        <f t="shared" si="25"/>
        <v>6.359331863633168</v>
      </c>
      <c r="C244" s="322">
        <f t="shared" si="26"/>
        <v>5.7409558042900635</v>
      </c>
      <c r="D244" s="106">
        <f t="shared" si="27"/>
        <v>1.411021554530746</v>
      </c>
      <c r="E244" s="90">
        <f t="shared" si="28"/>
        <v>2.0641225338249387</v>
      </c>
      <c r="F244" s="89">
        <f t="shared" si="29"/>
        <v>1.3583188078736574</v>
      </c>
      <c r="G244" s="82">
        <f t="shared" si="30"/>
        <v>1.8821710635025437</v>
      </c>
      <c r="H244" s="226">
        <f t="shared" si="31"/>
        <v>667.0997220045793</v>
      </c>
      <c r="I244" s="138">
        <f t="shared" si="32"/>
        <v>44.71436981515254</v>
      </c>
      <c r="J244" s="113">
        <f t="shared" si="33"/>
        <v>592.4201702474696</v>
      </c>
      <c r="K244" s="140">
        <f t="shared" si="34"/>
        <v>43.51674053478573</v>
      </c>
      <c r="L244" s="113"/>
      <c r="M244" s="82"/>
    </row>
    <row r="245" spans="1:13" s="16" customFormat="1" ht="12.75">
      <c r="A245" s="264">
        <v>0.6</v>
      </c>
      <c r="B245" s="106">
        <f t="shared" si="25"/>
        <v>6.642269365755723</v>
      </c>
      <c r="C245" s="322">
        <f t="shared" si="26"/>
        <v>6.007843978105541</v>
      </c>
      <c r="D245" s="106">
        <f t="shared" si="27"/>
        <v>1.519149700689502</v>
      </c>
      <c r="E245" s="90">
        <f t="shared" si="28"/>
        <v>2.1700032043160955</v>
      </c>
      <c r="F245" s="89">
        <f t="shared" si="29"/>
        <v>1.4643104989825677</v>
      </c>
      <c r="G245" s="82">
        <f t="shared" si="30"/>
        <v>1.981671942700098</v>
      </c>
      <c r="H245" s="226">
        <f t="shared" si="31"/>
        <v>698.4708811407196</v>
      </c>
      <c r="I245" s="138">
        <f t="shared" si="32"/>
        <v>44.08781868801903</v>
      </c>
      <c r="J245" s="113">
        <f t="shared" si="33"/>
        <v>622.3337187918474</v>
      </c>
      <c r="K245" s="140">
        <f t="shared" si="34"/>
        <v>42.8709462750724</v>
      </c>
      <c r="L245" s="113"/>
      <c r="M245" s="82"/>
    </row>
    <row r="246" spans="1:13" s="16" customFormat="1" ht="12.75">
      <c r="A246" s="264">
        <v>0.65</v>
      </c>
      <c r="B246" s="106">
        <f t="shared" si="25"/>
        <v>6.917007171096837</v>
      </c>
      <c r="C246" s="322">
        <f t="shared" si="26"/>
        <v>6.266931621089323</v>
      </c>
      <c r="D246" s="106">
        <f t="shared" si="27"/>
        <v>1.6263997732738975</v>
      </c>
      <c r="E246" s="90">
        <f t="shared" si="28"/>
        <v>2.272828164141654</v>
      </c>
      <c r="F246" s="89">
        <f t="shared" si="29"/>
        <v>1.5694005179119868</v>
      </c>
      <c r="G246" s="82">
        <f t="shared" si="30"/>
        <v>2.0781993477933987</v>
      </c>
      <c r="H246" s="226">
        <f t="shared" si="31"/>
        <v>729.2389009663298</v>
      </c>
      <c r="I246" s="138">
        <f t="shared" si="32"/>
        <v>43.50358666386786</v>
      </c>
      <c r="J246" s="113">
        <f t="shared" si="33"/>
        <v>651.6278055709681</v>
      </c>
      <c r="K246" s="140">
        <f t="shared" si="34"/>
        <v>42.270566608593406</v>
      </c>
      <c r="L246" s="113"/>
      <c r="M246" s="82"/>
    </row>
    <row r="247" spans="1:13" s="16" customFormat="1" ht="12.75">
      <c r="A247" s="264">
        <v>0.7</v>
      </c>
      <c r="B247" s="106">
        <f t="shared" si="25"/>
        <v>7.1843686301979535</v>
      </c>
      <c r="C247" s="322">
        <f t="shared" si="26"/>
        <v>6.519022197053845</v>
      </c>
      <c r="D247" s="106">
        <f t="shared" si="27"/>
        <v>1.7328261287999873</v>
      </c>
      <c r="E247" s="90">
        <f t="shared" si="28"/>
        <v>2.3728665233652437</v>
      </c>
      <c r="F247" s="89">
        <f t="shared" si="29"/>
        <v>1.6736474662981746</v>
      </c>
      <c r="G247" s="82">
        <f t="shared" si="30"/>
        <v>2.172023671571159</v>
      </c>
      <c r="H247" s="226">
        <f t="shared" si="31"/>
        <v>759.4451381338978</v>
      </c>
      <c r="I247" s="138">
        <f t="shared" si="32"/>
        <v>42.956371619352545</v>
      </c>
      <c r="J247" s="113">
        <f t="shared" si="33"/>
        <v>680.3487393017666</v>
      </c>
      <c r="K247" s="140">
        <f t="shared" si="34"/>
        <v>41.70972077265181</v>
      </c>
      <c r="L247" s="113"/>
      <c r="M247" s="82"/>
    </row>
    <row r="248" spans="1:13" s="16" customFormat="1" ht="12.75">
      <c r="A248" s="264">
        <v>0.75</v>
      </c>
      <c r="B248" s="106">
        <f t="shared" si="25"/>
        <v>7.445047474273525</v>
      </c>
      <c r="C248" s="322">
        <f t="shared" si="26"/>
        <v>6.764789500187498</v>
      </c>
      <c r="D248" s="106">
        <f t="shared" si="27"/>
        <v>1.8384769071826828</v>
      </c>
      <c r="E248" s="90">
        <f t="shared" si="28"/>
        <v>2.470348677974123</v>
      </c>
      <c r="F248" s="89">
        <f t="shared" si="29"/>
        <v>1.7771029809214907</v>
      </c>
      <c r="G248" s="82">
        <f t="shared" si="30"/>
        <v>2.2633752874501503</v>
      </c>
      <c r="H248" s="226">
        <f t="shared" si="31"/>
        <v>789.1263201162153</v>
      </c>
      <c r="I248" s="138">
        <f t="shared" si="32"/>
        <v>42.44181723222922</v>
      </c>
      <c r="J248" s="113">
        <f t="shared" si="33"/>
        <v>708.5370661426635</v>
      </c>
      <c r="K248" s="140">
        <f t="shared" si="34"/>
        <v>41.18360806953456</v>
      </c>
      <c r="L248" s="113"/>
      <c r="M248" s="82"/>
    </row>
    <row r="249" spans="1:13" s="16" customFormat="1" ht="12.75">
      <c r="A249" s="264">
        <v>0.8</v>
      </c>
      <c r="B249" s="106">
        <f t="shared" si="25"/>
        <v>7.699634737116758</v>
      </c>
      <c r="C249" s="322">
        <f t="shared" si="26"/>
        <v>7.004805234949957</v>
      </c>
      <c r="D249" s="106">
        <f t="shared" si="27"/>
        <v>1.943395055572429</v>
      </c>
      <c r="E249" s="90">
        <f t="shared" si="28"/>
        <v>2.56547383353789</v>
      </c>
      <c r="F249" s="89">
        <f t="shared" si="29"/>
        <v>1.8798129188592063</v>
      </c>
      <c r="G249" s="82">
        <f t="shared" si="30"/>
        <v>2.352452531289199</v>
      </c>
      <c r="H249" s="226">
        <f t="shared" si="31"/>
        <v>818.3152149143802</v>
      </c>
      <c r="I249" s="138">
        <f t="shared" si="32"/>
        <v>41.95629919491257</v>
      </c>
      <c r="J249" s="113">
        <f t="shared" si="33"/>
        <v>736.2285291301232</v>
      </c>
      <c r="K249" s="140">
        <f t="shared" si="34"/>
        <v>40.68825714192921</v>
      </c>
      <c r="L249" s="113"/>
      <c r="M249" s="82"/>
    </row>
    <row r="250" spans="1:13" s="16" customFormat="1" ht="12.75">
      <c r="A250" s="264">
        <v>0.85</v>
      </c>
      <c r="B250" s="106">
        <f t="shared" si="25"/>
        <v>7.948638883237</v>
      </c>
      <c r="C250" s="322">
        <f t="shared" si="26"/>
        <v>7.239559476834357</v>
      </c>
      <c r="D250" s="106">
        <f t="shared" si="27"/>
        <v>2.0476191362172496</v>
      </c>
      <c r="E250" s="90">
        <f t="shared" si="28"/>
        <v>2.658415725996731</v>
      </c>
      <c r="F250" s="89">
        <f t="shared" si="29"/>
        <v>1.981818285284414</v>
      </c>
      <c r="G250" s="82">
        <f t="shared" si="30"/>
        <v>2.439427723850266</v>
      </c>
      <c r="H250" s="226">
        <f t="shared" si="31"/>
        <v>847.0411915709315</v>
      </c>
      <c r="I250" s="138">
        <f t="shared" si="32"/>
        <v>41.496768879479454</v>
      </c>
      <c r="J250" s="113">
        <f t="shared" si="33"/>
        <v>763.4548349292223</v>
      </c>
      <c r="K250" s="140">
        <f t="shared" si="34"/>
        <v>40.220344312025546</v>
      </c>
      <c r="L250" s="113"/>
      <c r="M250" s="82"/>
    </row>
    <row r="251" spans="1:13" s="16" customFormat="1" ht="12.75">
      <c r="A251" s="264">
        <v>0.9</v>
      </c>
      <c r="B251" s="106">
        <f t="shared" si="25"/>
        <v>8.192501127857096</v>
      </c>
      <c r="C251" s="322">
        <f t="shared" si="26"/>
        <v>7.469476140057599</v>
      </c>
      <c r="D251" s="106">
        <f t="shared" si="27"/>
        <v>2.1511839729825892</v>
      </c>
      <c r="E251" s="90">
        <f t="shared" si="28"/>
        <v>2.749327044911855</v>
      </c>
      <c r="F251" s="89">
        <f t="shared" si="29"/>
        <v>2.083155970749962</v>
      </c>
      <c r="G251" s="82">
        <f t="shared" si="30"/>
        <v>2.5244517956751076</v>
      </c>
      <c r="H251" s="226">
        <f t="shared" si="31"/>
        <v>875.330688529242</v>
      </c>
      <c r="I251" s="138">
        <f t="shared" si="32"/>
        <v>41.06063681084657</v>
      </c>
      <c r="J251" s="113">
        <f t="shared" si="33"/>
        <v>790.2442716359437</v>
      </c>
      <c r="K251" s="140">
        <f t="shared" si="34"/>
        <v>39.77705927833449</v>
      </c>
      <c r="L251" s="113"/>
      <c r="M251" s="82"/>
    </row>
    <row r="252" spans="1:13" s="16" customFormat="1" ht="12.75">
      <c r="A252" s="264">
        <v>0.95</v>
      </c>
      <c r="B252" s="106">
        <f t="shared" si="25"/>
        <v>8.431607282766443</v>
      </c>
      <c r="C252" s="322">
        <f t="shared" si="26"/>
        <v>7.694924866035102</v>
      </c>
      <c r="D252" s="106">
        <f t="shared" si="27"/>
        <v>2.2541211752609787</v>
      </c>
      <c r="E252" s="90">
        <f t="shared" si="28"/>
        <v>2.838342904350776</v>
      </c>
      <c r="F252" s="89">
        <f t="shared" si="29"/>
        <v>2.183859344863493</v>
      </c>
      <c r="G252" s="82">
        <f t="shared" si="30"/>
        <v>2.6076578942515805</v>
      </c>
      <c r="H252" s="226">
        <f t="shared" si="31"/>
        <v>903.2076055628995</v>
      </c>
      <c r="I252" s="138">
        <f t="shared" si="32"/>
        <v>40.64568433388948</v>
      </c>
      <c r="J252" s="113">
        <f t="shared" si="33"/>
        <v>816.6222107308283</v>
      </c>
      <c r="K252" s="140">
        <f t="shared" si="34"/>
        <v>39.35600404516415</v>
      </c>
      <c r="L252" s="113"/>
      <c r="M252" s="82"/>
    </row>
    <row r="253" spans="1:13" s="16" customFormat="1" ht="12.75">
      <c r="A253" s="264">
        <v>1</v>
      </c>
      <c r="B253" s="106">
        <f t="shared" si="25"/>
        <v>8.666297045394154</v>
      </c>
      <c r="C253" s="322">
        <f t="shared" si="26"/>
        <v>7.916230296225299</v>
      </c>
      <c r="D253" s="106">
        <f t="shared" si="27"/>
        <v>2.356459567280701</v>
      </c>
      <c r="E253" s="90">
        <f t="shared" si="28"/>
        <v>2.9255836024925563</v>
      </c>
      <c r="F253" s="89">
        <f t="shared" si="29"/>
        <v>2.28395873996673</v>
      </c>
      <c r="G253" s="82">
        <f t="shared" si="30"/>
        <v>2.689164236435589</v>
      </c>
      <c r="H253" s="226">
        <f t="shared" si="31"/>
        <v>930.6936327795086</v>
      </c>
      <c r="I253" s="138">
        <f t="shared" si="32"/>
        <v>40.24999563990277</v>
      </c>
      <c r="J253" s="113">
        <f t="shared" si="33"/>
        <v>842.6115182492806</v>
      </c>
      <c r="K253" s="140">
        <f t="shared" si="34"/>
        <v>38.95511565317373</v>
      </c>
      <c r="L253" s="113"/>
      <c r="M253" s="82"/>
    </row>
    <row r="254" spans="1:13" s="16" customFormat="1" ht="13.5" thickBot="1">
      <c r="A254" s="192"/>
      <c r="B254" s="107"/>
      <c r="C254" s="323"/>
      <c r="D254" s="107"/>
      <c r="E254" s="102"/>
      <c r="F254" s="100"/>
      <c r="G254" s="101"/>
      <c r="H254" s="107"/>
      <c r="I254" s="141"/>
      <c r="J254" s="111"/>
      <c r="K254" s="112"/>
      <c r="M254" s="82"/>
    </row>
    <row r="255" spans="11:41" ht="12.75">
      <c r="K255" s="116"/>
      <c r="L255" s="204"/>
      <c r="M255" s="116"/>
      <c r="O255" s="116"/>
      <c r="P255" s="116"/>
      <c r="Q255" s="116"/>
      <c r="R255" s="116"/>
      <c r="S255" s="116"/>
      <c r="T255" s="116"/>
      <c r="U255" s="116"/>
      <c r="V255" s="116"/>
      <c r="W255" s="116"/>
      <c r="X255" s="116"/>
      <c r="Y255" s="116"/>
      <c r="Z255" s="116"/>
      <c r="AA255" s="116"/>
      <c r="AB255" s="116"/>
      <c r="AC255" s="116"/>
      <c r="AD255" s="116"/>
      <c r="AE255" s="116"/>
      <c r="AF255" s="116"/>
      <c r="AG255" s="116"/>
      <c r="AH255" s="116"/>
      <c r="AI255" s="116"/>
      <c r="AJ255" s="116"/>
      <c r="AK255" s="116"/>
      <c r="AL255" s="116"/>
      <c r="AM255" s="116"/>
      <c r="AN255" s="116"/>
      <c r="AO255" s="116"/>
    </row>
    <row r="256" spans="1:11" ht="12.75">
      <c r="A256" s="193"/>
      <c r="J256" s="194"/>
      <c r="K256" s="194"/>
    </row>
    <row r="257" spans="1:11" ht="12.75">
      <c r="A257" s="193"/>
      <c r="J257" s="194"/>
      <c r="K257" s="194"/>
    </row>
    <row r="258" spans="1:11" ht="12.75">
      <c r="A258" s="116"/>
      <c r="J258" s="194"/>
      <c r="K258" s="194"/>
    </row>
    <row r="259" spans="1:11" ht="12.75">
      <c r="A259" s="193"/>
      <c r="J259" s="194"/>
      <c r="K259" s="194"/>
    </row>
    <row r="260" spans="1:12" ht="12.75">
      <c r="A260" s="195"/>
      <c r="B260" s="195"/>
      <c r="C260" s="196"/>
      <c r="D260" s="195"/>
      <c r="E260" s="196"/>
      <c r="F260" s="197"/>
      <c r="G260" s="195"/>
      <c r="H260" s="195"/>
      <c r="I260" s="193"/>
      <c r="L260" s="195"/>
    </row>
    <row r="261" spans="1:12" ht="12.75">
      <c r="A261" s="198"/>
      <c r="B261" s="198"/>
      <c r="C261" s="198"/>
      <c r="D261" s="198"/>
      <c r="E261" s="198"/>
      <c r="F261" s="198"/>
      <c r="G261" s="198"/>
      <c r="H261" s="198"/>
      <c r="L261" s="198"/>
    </row>
    <row r="262" spans="1:12" ht="12.75">
      <c r="A262" s="199"/>
      <c r="B262" s="199"/>
      <c r="C262" s="199"/>
      <c r="D262" s="199"/>
      <c r="E262" s="199"/>
      <c r="F262" s="199"/>
      <c r="G262" s="194"/>
      <c r="H262" s="198"/>
      <c r="I262" s="200"/>
      <c r="J262" s="198"/>
      <c r="K262" s="194"/>
      <c r="L262" s="199"/>
    </row>
    <row r="263" spans="1:12" ht="12.75">
      <c r="A263" s="199"/>
      <c r="B263" s="199"/>
      <c r="C263" s="199"/>
      <c r="D263" s="199"/>
      <c r="E263" s="199"/>
      <c r="F263" s="199"/>
      <c r="G263" s="194"/>
      <c r="H263" s="201"/>
      <c r="I263" s="202"/>
      <c r="J263" s="203"/>
      <c r="K263" s="198"/>
      <c r="L263" s="199"/>
    </row>
    <row r="264" spans="1:11" ht="12.75">
      <c r="A264" s="199"/>
      <c r="B264" s="199"/>
      <c r="C264" s="199"/>
      <c r="D264" s="199"/>
      <c r="E264" s="199"/>
      <c r="F264" s="199"/>
      <c r="G264" s="194"/>
      <c r="H264" s="201"/>
      <c r="I264" s="200"/>
      <c r="J264" s="198"/>
      <c r="K264" s="198"/>
    </row>
    <row r="265" spans="1:10" ht="12.75">
      <c r="A265" s="199"/>
      <c r="B265" s="199"/>
      <c r="C265" s="199"/>
      <c r="D265" s="199"/>
      <c r="E265" s="199"/>
      <c r="F265" s="199"/>
      <c r="G265" s="194"/>
      <c r="H265" s="201"/>
      <c r="I265" s="200"/>
      <c r="J265" s="198"/>
    </row>
    <row r="266" spans="1:13" ht="12.75">
      <c r="A266" s="199"/>
      <c r="B266" s="199"/>
      <c r="C266" s="199"/>
      <c r="D266" s="199"/>
      <c r="E266" s="199"/>
      <c r="F266" s="199"/>
      <c r="G266" s="194"/>
      <c r="H266" s="201"/>
      <c r="I266" s="200"/>
      <c r="J266" s="198"/>
      <c r="K266" s="199"/>
      <c r="L266" s="116"/>
      <c r="M266" s="116"/>
    </row>
    <row r="267" spans="1:13" ht="12.75">
      <c r="A267" s="199"/>
      <c r="B267" s="199"/>
      <c r="C267" s="199"/>
      <c r="D267" s="199"/>
      <c r="E267" s="199"/>
      <c r="F267" s="199"/>
      <c r="G267" s="194"/>
      <c r="H267" s="201"/>
      <c r="I267" s="202"/>
      <c r="J267" s="203"/>
      <c r="L267" s="116"/>
      <c r="M267" s="116"/>
    </row>
    <row r="268" spans="1:13" ht="12.75">
      <c r="A268" s="199"/>
      <c r="B268" s="199"/>
      <c r="C268" s="199"/>
      <c r="D268" s="199"/>
      <c r="E268" s="199"/>
      <c r="F268" s="199"/>
      <c r="G268" s="194"/>
      <c r="H268" s="201"/>
      <c r="I268" s="200"/>
      <c r="J268" s="198"/>
      <c r="K268" s="199"/>
      <c r="L268" s="116"/>
      <c r="M268" s="116"/>
    </row>
    <row r="269" spans="1:13" ht="12.75">
      <c r="A269" s="199"/>
      <c r="B269" s="199"/>
      <c r="C269" s="199"/>
      <c r="D269" s="199"/>
      <c r="E269" s="199"/>
      <c r="F269" s="199"/>
      <c r="G269" s="194"/>
      <c r="H269" s="201"/>
      <c r="J269" s="116"/>
      <c r="K269" s="116"/>
      <c r="L269" s="116"/>
      <c r="M269" s="116"/>
    </row>
    <row r="270" spans="1:13" ht="12.75">
      <c r="A270" s="199"/>
      <c r="B270" s="199"/>
      <c r="C270" s="199"/>
      <c r="D270" s="199"/>
      <c r="E270" s="199"/>
      <c r="F270" s="199"/>
      <c r="G270" s="194"/>
      <c r="H270" s="201"/>
      <c r="J270" s="116"/>
      <c r="K270" s="116"/>
      <c r="L270" s="116"/>
      <c r="M270" s="116"/>
    </row>
    <row r="271" spans="1:13" ht="12.75">
      <c r="A271" s="199"/>
      <c r="B271" s="199"/>
      <c r="C271" s="199"/>
      <c r="D271" s="199"/>
      <c r="E271" s="199"/>
      <c r="F271" s="199"/>
      <c r="G271" s="194"/>
      <c r="H271" s="201"/>
      <c r="J271" s="116"/>
      <c r="K271" s="116"/>
      <c r="L271" s="116"/>
      <c r="M271" s="116"/>
    </row>
    <row r="272" spans="1:13" ht="12.75">
      <c r="A272" s="199"/>
      <c r="B272" s="199"/>
      <c r="C272" s="199"/>
      <c r="D272" s="199"/>
      <c r="E272" s="199"/>
      <c r="F272" s="199"/>
      <c r="G272" s="194"/>
      <c r="H272" s="201"/>
      <c r="J272" s="116"/>
      <c r="K272" s="116"/>
      <c r="L272" s="116"/>
      <c r="M272" s="116"/>
    </row>
    <row r="273" spans="1:13" ht="12.75">
      <c r="A273" s="199"/>
      <c r="B273" s="199"/>
      <c r="C273" s="199"/>
      <c r="D273" s="199"/>
      <c r="E273" s="199"/>
      <c r="F273" s="199"/>
      <c r="G273" s="194"/>
      <c r="H273" s="201"/>
      <c r="J273" s="116"/>
      <c r="K273" s="116"/>
      <c r="L273" s="116"/>
      <c r="M273" s="116"/>
    </row>
    <row r="274" spans="1:13" ht="12.75">
      <c r="A274" s="199"/>
      <c r="B274" s="199"/>
      <c r="C274" s="199"/>
      <c r="D274" s="199"/>
      <c r="E274" s="199"/>
      <c r="F274" s="199"/>
      <c r="G274" s="194"/>
      <c r="H274" s="201"/>
      <c r="J274" s="116"/>
      <c r="K274" s="116"/>
      <c r="L274" s="116"/>
      <c r="M274" s="116"/>
    </row>
    <row r="275" spans="1:13" ht="12.75">
      <c r="A275" s="199"/>
      <c r="B275" s="199"/>
      <c r="C275" s="199"/>
      <c r="D275" s="199"/>
      <c r="E275" s="199"/>
      <c r="F275" s="199"/>
      <c r="G275" s="194"/>
      <c r="H275" s="201"/>
      <c r="J275" s="116"/>
      <c r="K275" s="116"/>
      <c r="L275" s="116"/>
      <c r="M275" s="116"/>
    </row>
    <row r="276" spans="1:13" ht="12.75">
      <c r="A276" s="199"/>
      <c r="B276" s="199"/>
      <c r="C276" s="199"/>
      <c r="D276" s="199"/>
      <c r="E276" s="199"/>
      <c r="F276" s="199"/>
      <c r="G276" s="194"/>
      <c r="H276" s="201"/>
      <c r="J276" s="116"/>
      <c r="K276" s="116"/>
      <c r="L276" s="116"/>
      <c r="M276" s="116"/>
    </row>
    <row r="277" spans="1:13" ht="12.75">
      <c r="A277" s="199"/>
      <c r="B277" s="199"/>
      <c r="C277" s="199"/>
      <c r="D277" s="199"/>
      <c r="E277" s="199"/>
      <c r="F277" s="199"/>
      <c r="G277" s="194"/>
      <c r="H277" s="201"/>
      <c r="J277" s="116"/>
      <c r="K277" s="116"/>
      <c r="L277" s="116"/>
      <c r="M277" s="116"/>
    </row>
    <row r="278" spans="1:13" ht="12.75">
      <c r="A278" s="199"/>
      <c r="B278" s="199"/>
      <c r="C278" s="199"/>
      <c r="D278" s="199"/>
      <c r="E278" s="199"/>
      <c r="F278" s="199"/>
      <c r="G278" s="194"/>
      <c r="H278" s="201"/>
      <c r="J278" s="116"/>
      <c r="K278" s="116"/>
      <c r="L278" s="116"/>
      <c r="M278" s="116"/>
    </row>
    <row r="279" spans="1:13" ht="12.75">
      <c r="A279" s="199"/>
      <c r="B279" s="199"/>
      <c r="C279" s="199"/>
      <c r="D279" s="199"/>
      <c r="E279" s="199"/>
      <c r="F279" s="199"/>
      <c r="G279" s="194"/>
      <c r="H279" s="201"/>
      <c r="J279" s="116"/>
      <c r="K279" s="116"/>
      <c r="L279" s="116"/>
      <c r="M279" s="116"/>
    </row>
    <row r="280" spans="1:13" ht="12.75">
      <c r="A280" s="199"/>
      <c r="B280" s="199"/>
      <c r="C280" s="199"/>
      <c r="D280" s="199"/>
      <c r="E280" s="199"/>
      <c r="F280" s="199"/>
      <c r="G280" s="194"/>
      <c r="H280" s="201"/>
      <c r="J280" s="116"/>
      <c r="K280" s="116"/>
      <c r="L280" s="116"/>
      <c r="M280" s="116"/>
    </row>
    <row r="281" spans="1:13" ht="12.75">
      <c r="A281" s="199"/>
      <c r="B281" s="199"/>
      <c r="C281" s="199"/>
      <c r="D281" s="199"/>
      <c r="E281" s="199"/>
      <c r="F281" s="199"/>
      <c r="G281" s="194"/>
      <c r="H281" s="201"/>
      <c r="J281" s="116"/>
      <c r="K281" s="116"/>
      <c r="L281" s="116"/>
      <c r="M281" s="116"/>
    </row>
    <row r="282" spans="1:13" ht="12.75">
      <c r="A282" s="199"/>
      <c r="B282" s="199"/>
      <c r="C282" s="199"/>
      <c r="D282" s="199"/>
      <c r="E282" s="199"/>
      <c r="F282" s="199"/>
      <c r="G282" s="194"/>
      <c r="H282" s="201"/>
      <c r="J282" s="116"/>
      <c r="K282" s="116"/>
      <c r="L282" s="116"/>
      <c r="M282" s="116"/>
    </row>
    <row r="283" spans="1:13" ht="12.75">
      <c r="A283" s="199"/>
      <c r="B283" s="199"/>
      <c r="C283" s="199"/>
      <c r="D283" s="199"/>
      <c r="E283" s="199"/>
      <c r="F283" s="199"/>
      <c r="G283" s="194"/>
      <c r="H283" s="201"/>
      <c r="J283" s="116"/>
      <c r="K283" s="116"/>
      <c r="L283" s="116"/>
      <c r="M283" s="116"/>
    </row>
    <row r="284" spans="1:13" ht="12.75">
      <c r="A284" s="199"/>
      <c r="B284" s="199"/>
      <c r="C284" s="199"/>
      <c r="D284" s="199"/>
      <c r="E284" s="199"/>
      <c r="F284" s="199"/>
      <c r="G284" s="194"/>
      <c r="H284" s="201"/>
      <c r="J284" s="116"/>
      <c r="K284" s="116"/>
      <c r="L284" s="116"/>
      <c r="M284" s="116"/>
    </row>
    <row r="285" spans="1:13" ht="12.75">
      <c r="A285" s="199"/>
      <c r="B285" s="199"/>
      <c r="C285" s="199"/>
      <c r="D285" s="199"/>
      <c r="E285" s="199"/>
      <c r="F285" s="199"/>
      <c r="G285" s="194"/>
      <c r="H285" s="201"/>
      <c r="J285" s="116"/>
      <c r="K285" s="116"/>
      <c r="L285" s="116"/>
      <c r="M285" s="116"/>
    </row>
    <row r="286" spans="1:13" ht="12.75">
      <c r="A286" s="199"/>
      <c r="B286" s="199"/>
      <c r="C286" s="199"/>
      <c r="D286" s="199"/>
      <c r="E286" s="199"/>
      <c r="F286" s="199"/>
      <c r="G286" s="194"/>
      <c r="H286" s="201"/>
      <c r="J286" s="116"/>
      <c r="K286" s="116"/>
      <c r="L286" s="116"/>
      <c r="M286" s="116"/>
    </row>
    <row r="287" spans="1:13" ht="12.75">
      <c r="A287" s="199"/>
      <c r="B287" s="199"/>
      <c r="C287" s="199"/>
      <c r="D287" s="199"/>
      <c r="E287" s="199"/>
      <c r="F287" s="199"/>
      <c r="G287" s="194"/>
      <c r="H287" s="201"/>
      <c r="J287" s="116"/>
      <c r="K287" s="116"/>
      <c r="L287" s="116"/>
      <c r="M287" s="116"/>
    </row>
    <row r="288" spans="1:13" ht="12.75">
      <c r="A288" s="199"/>
      <c r="B288" s="199"/>
      <c r="C288" s="199"/>
      <c r="D288" s="199"/>
      <c r="E288" s="199"/>
      <c r="F288" s="199"/>
      <c r="G288" s="194"/>
      <c r="H288" s="201"/>
      <c r="J288" s="116"/>
      <c r="K288" s="116"/>
      <c r="L288" s="116"/>
      <c r="M288" s="116"/>
    </row>
    <row r="289" spans="1:13" ht="12.75">
      <c r="A289" s="199"/>
      <c r="B289" s="199"/>
      <c r="C289" s="199"/>
      <c r="D289" s="199"/>
      <c r="E289" s="199"/>
      <c r="F289" s="199"/>
      <c r="G289" s="194"/>
      <c r="H289" s="201"/>
      <c r="J289" s="116"/>
      <c r="K289" s="116"/>
      <c r="L289" s="116"/>
      <c r="M289" s="116"/>
    </row>
    <row r="290" spans="1:13" ht="12.75">
      <c r="A290" s="199"/>
      <c r="B290" s="199"/>
      <c r="C290" s="199"/>
      <c r="D290" s="199"/>
      <c r="E290" s="199"/>
      <c r="F290" s="199"/>
      <c r="G290" s="194"/>
      <c r="H290" s="201"/>
      <c r="J290" s="116"/>
      <c r="K290" s="116"/>
      <c r="L290" s="116"/>
      <c r="M290" s="116"/>
    </row>
    <row r="291" spans="1:13" ht="12.75">
      <c r="A291" s="199"/>
      <c r="B291" s="199"/>
      <c r="C291" s="199"/>
      <c r="D291" s="199"/>
      <c r="E291" s="199"/>
      <c r="F291" s="199"/>
      <c r="G291" s="194"/>
      <c r="H291" s="201"/>
      <c r="J291" s="116"/>
      <c r="K291" s="116"/>
      <c r="L291" s="116"/>
      <c r="M291" s="116"/>
    </row>
    <row r="292" spans="1:13" ht="12.75">
      <c r="A292" s="199"/>
      <c r="B292" s="199"/>
      <c r="C292" s="199"/>
      <c r="D292" s="199"/>
      <c r="E292" s="199"/>
      <c r="F292" s="199"/>
      <c r="G292" s="194"/>
      <c r="H292" s="201"/>
      <c r="J292" s="116"/>
      <c r="K292" s="116"/>
      <c r="L292" s="116"/>
      <c r="M292" s="116"/>
    </row>
    <row r="293" spans="1:13" ht="12.75">
      <c r="A293" s="199"/>
      <c r="B293" s="199"/>
      <c r="C293" s="199"/>
      <c r="D293" s="199"/>
      <c r="E293" s="199"/>
      <c r="F293" s="199"/>
      <c r="G293" s="194"/>
      <c r="H293" s="201"/>
      <c r="J293" s="116"/>
      <c r="K293" s="116"/>
      <c r="L293" s="116"/>
      <c r="M293" s="116"/>
    </row>
    <row r="294" spans="1:13" ht="12.75">
      <c r="A294" s="199"/>
      <c r="B294" s="199"/>
      <c r="C294" s="199"/>
      <c r="D294" s="199"/>
      <c r="E294" s="199"/>
      <c r="F294" s="199"/>
      <c r="G294" s="194"/>
      <c r="H294" s="201"/>
      <c r="J294" s="116"/>
      <c r="K294" s="116"/>
      <c r="L294" s="116"/>
      <c r="M294" s="116"/>
    </row>
    <row r="295" spans="1:13" ht="12.75">
      <c r="A295" s="199"/>
      <c r="B295" s="199"/>
      <c r="C295" s="199"/>
      <c r="D295" s="199"/>
      <c r="E295" s="199"/>
      <c r="F295" s="199"/>
      <c r="G295" s="194"/>
      <c r="H295" s="201"/>
      <c r="J295" s="116"/>
      <c r="K295" s="116"/>
      <c r="L295" s="116"/>
      <c r="M295" s="116"/>
    </row>
    <row r="296" spans="1:13" ht="12.75">
      <c r="A296" s="199"/>
      <c r="B296" s="199"/>
      <c r="C296" s="199"/>
      <c r="D296" s="199"/>
      <c r="E296" s="199"/>
      <c r="F296" s="199"/>
      <c r="G296" s="194"/>
      <c r="H296" s="201"/>
      <c r="J296" s="116"/>
      <c r="K296" s="116"/>
      <c r="L296" s="116"/>
      <c r="M296" s="116"/>
    </row>
    <row r="297" spans="1:13" ht="12.75">
      <c r="A297" s="199"/>
      <c r="B297" s="199"/>
      <c r="C297" s="199"/>
      <c r="D297" s="199"/>
      <c r="E297" s="199"/>
      <c r="F297" s="199"/>
      <c r="G297" s="194"/>
      <c r="H297" s="201"/>
      <c r="J297" s="116"/>
      <c r="K297" s="116"/>
      <c r="L297" s="116"/>
      <c r="M297" s="116"/>
    </row>
    <row r="298" spans="1:13" ht="12.75">
      <c r="A298" s="199"/>
      <c r="B298" s="199"/>
      <c r="C298" s="199"/>
      <c r="D298" s="199"/>
      <c r="E298" s="199"/>
      <c r="F298" s="199"/>
      <c r="G298" s="194"/>
      <c r="H298" s="201"/>
      <c r="J298" s="116"/>
      <c r="K298" s="116"/>
      <c r="L298" s="116"/>
      <c r="M298" s="116"/>
    </row>
    <row r="299" spans="1:13" ht="12.75">
      <c r="A299" s="199"/>
      <c r="B299" s="199"/>
      <c r="C299" s="199"/>
      <c r="D299" s="199"/>
      <c r="E299" s="199"/>
      <c r="F299" s="199"/>
      <c r="G299" s="194"/>
      <c r="H299" s="201"/>
      <c r="J299" s="116"/>
      <c r="K299" s="116"/>
      <c r="L299" s="116"/>
      <c r="M299" s="116"/>
    </row>
    <row r="300" spans="1:13" ht="12.75">
      <c r="A300" s="199"/>
      <c r="B300" s="199"/>
      <c r="C300" s="199"/>
      <c r="D300" s="199"/>
      <c r="E300" s="199"/>
      <c r="F300" s="199"/>
      <c r="G300" s="194"/>
      <c r="H300" s="201"/>
      <c r="J300" s="116"/>
      <c r="K300" s="116"/>
      <c r="L300" s="116"/>
      <c r="M300" s="116"/>
    </row>
    <row r="301" spans="1:13" ht="12.75">
      <c r="A301" s="199"/>
      <c r="B301" s="199"/>
      <c r="C301" s="199"/>
      <c r="D301" s="199"/>
      <c r="E301" s="199"/>
      <c r="F301" s="199"/>
      <c r="G301" s="194"/>
      <c r="H301" s="201"/>
      <c r="J301" s="116"/>
      <c r="K301" s="116"/>
      <c r="L301" s="116"/>
      <c r="M301" s="116"/>
    </row>
    <row r="302" spans="1:13" ht="12.75">
      <c r="A302" s="199"/>
      <c r="B302" s="199"/>
      <c r="C302" s="199"/>
      <c r="D302" s="199"/>
      <c r="E302" s="199"/>
      <c r="F302" s="199"/>
      <c r="G302" s="194"/>
      <c r="H302" s="201"/>
      <c r="J302" s="116"/>
      <c r="K302" s="116"/>
      <c r="L302" s="116"/>
      <c r="M302" s="116"/>
    </row>
    <row r="303" spans="1:13" ht="12.75">
      <c r="A303" s="199"/>
      <c r="B303" s="199"/>
      <c r="C303" s="199"/>
      <c r="D303" s="199"/>
      <c r="E303" s="199"/>
      <c r="F303" s="199"/>
      <c r="G303" s="194"/>
      <c r="H303" s="201"/>
      <c r="J303" s="116"/>
      <c r="K303" s="116"/>
      <c r="L303" s="116"/>
      <c r="M303" s="116"/>
    </row>
    <row r="304" spans="1:13" ht="12.75">
      <c r="A304" s="199"/>
      <c r="B304" s="199"/>
      <c r="C304" s="199"/>
      <c r="D304" s="199"/>
      <c r="E304" s="199"/>
      <c r="F304" s="199"/>
      <c r="G304" s="194"/>
      <c r="H304" s="201"/>
      <c r="J304" s="116"/>
      <c r="K304" s="116"/>
      <c r="L304" s="116"/>
      <c r="M304" s="116"/>
    </row>
    <row r="305" spans="1:13" ht="12.75">
      <c r="A305" s="199"/>
      <c r="B305" s="199"/>
      <c r="C305" s="199"/>
      <c r="D305" s="199"/>
      <c r="E305" s="199"/>
      <c r="F305" s="199"/>
      <c r="G305" s="194"/>
      <c r="H305" s="201"/>
      <c r="J305" s="116"/>
      <c r="K305" s="116"/>
      <c r="L305" s="116"/>
      <c r="M305" s="116"/>
    </row>
    <row r="306" spans="1:13" ht="12.75">
      <c r="A306" s="199"/>
      <c r="B306" s="199"/>
      <c r="C306" s="199"/>
      <c r="D306" s="199"/>
      <c r="E306" s="199"/>
      <c r="F306" s="199"/>
      <c r="G306" s="194"/>
      <c r="H306" s="201"/>
      <c r="J306" s="116"/>
      <c r="K306" s="116"/>
      <c r="L306" s="116"/>
      <c r="M306" s="116"/>
    </row>
    <row r="307" spans="1:13" ht="12.75">
      <c r="A307" s="199"/>
      <c r="B307" s="199"/>
      <c r="C307" s="199"/>
      <c r="D307" s="199"/>
      <c r="E307" s="199"/>
      <c r="F307" s="199"/>
      <c r="G307" s="194"/>
      <c r="H307" s="201"/>
      <c r="J307" s="116"/>
      <c r="K307" s="116"/>
      <c r="L307" s="116"/>
      <c r="M307" s="116"/>
    </row>
    <row r="308" spans="1:13" ht="12.75">
      <c r="A308" s="199"/>
      <c r="B308" s="199"/>
      <c r="C308" s="199"/>
      <c r="D308" s="199"/>
      <c r="E308" s="199"/>
      <c r="F308" s="199"/>
      <c r="G308" s="194"/>
      <c r="H308" s="201"/>
      <c r="J308" s="116"/>
      <c r="K308" s="116"/>
      <c r="L308" s="116"/>
      <c r="M308" s="116"/>
    </row>
    <row r="309" spans="1:13" ht="12.75">
      <c r="A309" s="199"/>
      <c r="B309" s="199"/>
      <c r="C309" s="199"/>
      <c r="D309" s="199"/>
      <c r="E309" s="199"/>
      <c r="F309" s="199"/>
      <c r="G309" s="194"/>
      <c r="H309" s="201"/>
      <c r="J309" s="116"/>
      <c r="K309" s="116"/>
      <c r="L309" s="116"/>
      <c r="M309" s="116"/>
    </row>
    <row r="310" spans="1:13" ht="12.75">
      <c r="A310" s="199"/>
      <c r="B310" s="199"/>
      <c r="C310" s="199"/>
      <c r="D310" s="199"/>
      <c r="E310" s="199"/>
      <c r="F310" s="199"/>
      <c r="G310" s="194"/>
      <c r="H310" s="201"/>
      <c r="J310" s="116"/>
      <c r="K310" s="116"/>
      <c r="L310" s="116"/>
      <c r="M310" s="116"/>
    </row>
    <row r="311" spans="1:13" ht="12.75">
      <c r="A311" s="199"/>
      <c r="B311" s="199"/>
      <c r="C311" s="199"/>
      <c r="D311" s="199"/>
      <c r="E311" s="199"/>
      <c r="F311" s="199"/>
      <c r="G311" s="194"/>
      <c r="H311" s="201"/>
      <c r="J311" s="116"/>
      <c r="K311" s="116"/>
      <c r="L311" s="116"/>
      <c r="M311" s="116"/>
    </row>
    <row r="312" spans="1:13" ht="12.75">
      <c r="A312" s="199"/>
      <c r="B312" s="199"/>
      <c r="C312" s="199"/>
      <c r="D312" s="199"/>
      <c r="E312" s="199"/>
      <c r="F312" s="199"/>
      <c r="G312" s="194"/>
      <c r="H312" s="201"/>
      <c r="J312" s="116"/>
      <c r="K312" s="116"/>
      <c r="L312" s="116"/>
      <c r="M312" s="116"/>
    </row>
  </sheetData>
  <mergeCells count="11">
    <mergeCell ref="G20:H20"/>
    <mergeCell ref="I20:J20"/>
    <mergeCell ref="G21:H21"/>
    <mergeCell ref="G22:H22"/>
    <mergeCell ref="I21:J21"/>
    <mergeCell ref="I22:J22"/>
    <mergeCell ref="I23:J23"/>
    <mergeCell ref="A70:E70"/>
    <mergeCell ref="A44:E44"/>
    <mergeCell ref="N146:O146"/>
    <mergeCell ref="G23:H23"/>
  </mergeCells>
  <printOptions horizontalCentered="1" verticalCentered="1"/>
  <pageMargins left="0.5511811023622047" right="0.2362204724409449" top="0.34" bottom="0.5118110236220472" header="0.31496062992125984" footer="0.5118110236220472"/>
  <pageSetup horizontalDpi="300" verticalDpi="300" orientation="portrait" paperSize="9" scale="95" r:id="rId2"/>
  <headerFooter alignWithMargins="0">
    <oddHeader xml:space="preserve">&amp;C </oddHeader>
    <oddFooter xml:space="preserve">&amp;C </oddFooter>
  </headerFooter>
  <rowBreaks count="2" manualBreakCount="2">
    <brk id="140" max="255" man="1"/>
    <brk id="1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A1">
      <selection activeCell="J1" sqref="J1"/>
    </sheetView>
  </sheetViews>
  <sheetFormatPr defaultColWidth="9.140625" defaultRowHeight="12.75"/>
  <cols>
    <col min="8" max="8" width="7.140625" style="0" customWidth="1"/>
    <col min="9" max="9" width="10.140625" style="0" customWidth="1"/>
    <col min="10" max="10" width="9.57421875" style="0" customWidth="1"/>
    <col min="11" max="11" width="7.57421875" style="0" customWidth="1"/>
    <col min="12" max="12" width="11.00390625" style="0" customWidth="1"/>
    <col min="14" max="14" width="10.28125" style="0" customWidth="1"/>
    <col min="15" max="15" width="7.7109375" style="0" customWidth="1"/>
  </cols>
  <sheetData>
    <row r="1" spans="1:15" ht="15">
      <c r="A1" s="324" t="str">
        <f>'Q''_GSI'!C4</f>
        <v>Piano di recupero "La Cementifera"</v>
      </c>
      <c r="B1" s="286"/>
      <c r="D1" s="286"/>
      <c r="E1" s="17"/>
      <c r="G1" s="286"/>
      <c r="I1" s="286"/>
      <c r="J1" s="286"/>
      <c r="K1" s="286"/>
      <c r="L1" s="286"/>
      <c r="M1" s="286"/>
      <c r="N1" s="345" t="str">
        <f>'Q''_GSI'!C9</f>
        <v>RG 3</v>
      </c>
      <c r="O1" s="286"/>
    </row>
    <row r="2" spans="1:15" ht="15">
      <c r="A2" s="324" t="str">
        <f>'Q''_GSI'!C5</f>
        <v>Robbiate (LC)</v>
      </c>
      <c r="B2" s="286"/>
      <c r="C2" s="286"/>
      <c r="D2" s="286"/>
      <c r="E2" s="17"/>
      <c r="F2" s="325"/>
      <c r="G2" s="286"/>
      <c r="H2" s="324"/>
      <c r="I2" s="286"/>
      <c r="J2" s="286"/>
      <c r="K2" s="286"/>
      <c r="L2" s="286"/>
      <c r="M2" s="286"/>
      <c r="N2" s="346"/>
      <c r="O2" s="286"/>
    </row>
    <row r="3" spans="1:15" ht="1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6"/>
      <c r="L4" s="91"/>
      <c r="M4" s="16"/>
      <c r="N4" s="16"/>
      <c r="O4" s="16"/>
      <c r="P4" s="116"/>
      <c r="Q4" s="116"/>
    </row>
    <row r="5" spans="1:1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16"/>
      <c r="Q5" s="116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17"/>
      <c r="K6" s="2"/>
      <c r="L6" s="2"/>
      <c r="M6" s="2"/>
      <c r="N6" s="2"/>
      <c r="O6" s="2"/>
      <c r="P6" s="117"/>
      <c r="Q6" s="11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17"/>
      <c r="K7" s="2"/>
      <c r="L7" s="2"/>
      <c r="M7" s="2"/>
      <c r="N7" s="2"/>
      <c r="O7" s="2"/>
      <c r="P7" s="117"/>
      <c r="Q7" s="117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4"/>
      <c r="Q8" s="114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4"/>
      <c r="Q9" s="114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14"/>
      <c r="Q10" s="114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4"/>
      <c r="Q11" s="114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4"/>
      <c r="Q12" s="114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14"/>
      <c r="Q13" s="114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4"/>
      <c r="Q14" s="114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4"/>
      <c r="Q15" s="114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4"/>
      <c r="Q16" s="114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4"/>
      <c r="Q17" s="114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4"/>
      <c r="Q18" s="114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14"/>
      <c r="Q19" s="114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14"/>
      <c r="Q20" s="114"/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14"/>
      <c r="Q21" s="114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14"/>
      <c r="Q22" s="114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4"/>
      <c r="Q23" s="114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4"/>
      <c r="Q24" s="114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14"/>
      <c r="Q25" s="114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14"/>
      <c r="Q26" s="114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14"/>
      <c r="Q27" s="114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14"/>
      <c r="Q28" s="114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4"/>
      <c r="Q29" s="114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14"/>
      <c r="Q30" s="114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4"/>
      <c r="Q31" s="114"/>
    </row>
    <row r="32" spans="1:15" ht="12.75">
      <c r="A32" s="76" t="s">
        <v>57</v>
      </c>
      <c r="B32" s="17"/>
      <c r="C32" s="17"/>
      <c r="D32" s="17"/>
      <c r="E32" s="17"/>
      <c r="F32" s="17"/>
      <c r="G32" s="17"/>
      <c r="I32" s="17"/>
      <c r="J32" s="17"/>
      <c r="K32" s="17"/>
      <c r="L32" s="17"/>
      <c r="M32" s="17"/>
      <c r="O32" s="17"/>
    </row>
    <row r="33" spans="1:15" ht="15.75">
      <c r="A33" s="238" t="s">
        <v>128</v>
      </c>
      <c r="B33" s="17"/>
      <c r="C33" s="17"/>
      <c r="D33" s="17"/>
      <c r="E33" s="17"/>
      <c r="F33" s="17"/>
      <c r="G33" s="17"/>
      <c r="H33" s="39" t="s">
        <v>115</v>
      </c>
      <c r="I33" s="287"/>
      <c r="J33" s="287"/>
      <c r="K33" s="287"/>
      <c r="L33" s="287"/>
      <c r="M33" s="40" t="s">
        <v>114</v>
      </c>
      <c r="N33" s="40" t="s">
        <v>94</v>
      </c>
      <c r="O33" s="17"/>
    </row>
    <row r="34" spans="1:15" ht="14.25">
      <c r="A34" s="17"/>
      <c r="B34" s="17"/>
      <c r="C34" s="17"/>
      <c r="D34" s="17"/>
      <c r="E34" s="17"/>
      <c r="F34" s="17"/>
      <c r="G34" s="17"/>
      <c r="H34" s="65" t="s">
        <v>62</v>
      </c>
      <c r="I34" s="80"/>
      <c r="J34" s="80"/>
      <c r="K34" s="80"/>
      <c r="L34" s="9" t="s">
        <v>125</v>
      </c>
      <c r="M34" s="83">
        <f>'Q''_GSI'!J121</f>
        <v>0.8431937964949147</v>
      </c>
      <c r="N34" s="83">
        <f>'Q''_GSI'!J129</f>
        <v>0.7309460673878938</v>
      </c>
      <c r="O34" s="17"/>
    </row>
    <row r="35" spans="1:15" ht="12.75">
      <c r="A35" s="39" t="s">
        <v>58</v>
      </c>
      <c r="B35" s="287"/>
      <c r="C35" s="287"/>
      <c r="D35" s="287"/>
      <c r="E35" s="287"/>
      <c r="F35" s="288"/>
      <c r="G35" s="17"/>
      <c r="H35" s="68"/>
      <c r="I35" s="2"/>
      <c r="J35" s="2"/>
      <c r="K35" s="2"/>
      <c r="L35" s="162" t="s">
        <v>63</v>
      </c>
      <c r="M35" s="240">
        <f>'Q''_GSI'!J122</f>
        <v>0.0009118819655545162</v>
      </c>
      <c r="N35" s="240">
        <f>'Q''_GSI'!J130</f>
        <v>0.000584680832876515</v>
      </c>
      <c r="O35" s="17"/>
    </row>
    <row r="36" spans="1:15" ht="14.25">
      <c r="A36" s="68" t="s">
        <v>59</v>
      </c>
      <c r="B36" s="16"/>
      <c r="C36" s="16"/>
      <c r="D36" s="16"/>
      <c r="E36" s="234" t="s">
        <v>121</v>
      </c>
      <c r="F36" s="49">
        <f>'Q''_GSI'!J114</f>
        <v>73</v>
      </c>
      <c r="G36" s="17"/>
      <c r="H36" s="68"/>
      <c r="I36" s="2"/>
      <c r="J36" s="2"/>
      <c r="K36" s="2"/>
      <c r="L36" s="162" t="s">
        <v>84</v>
      </c>
      <c r="M36" s="266">
        <f>'Q''_GSI'!J123</f>
        <v>0.5139359121918643</v>
      </c>
      <c r="N36" s="266">
        <f>'Q''_GSI'!J131</f>
        <v>0.518259153709567</v>
      </c>
      <c r="O36" s="17"/>
    </row>
    <row r="37" spans="1:15" ht="14.25">
      <c r="A37" s="68" t="s">
        <v>86</v>
      </c>
      <c r="B37" s="16"/>
      <c r="C37" s="16"/>
      <c r="D37" s="16"/>
      <c r="E37" s="235" t="s">
        <v>122</v>
      </c>
      <c r="F37" s="37">
        <f>'Q''_GSI'!J115</f>
        <v>8.986710670089224</v>
      </c>
      <c r="G37" s="17"/>
      <c r="H37" s="65" t="s">
        <v>88</v>
      </c>
      <c r="I37" s="66"/>
      <c r="J37" s="66"/>
      <c r="K37" s="66"/>
      <c r="L37" s="234" t="s">
        <v>87</v>
      </c>
      <c r="M37" s="231">
        <f>'Q''_GSI'!J124</f>
        <v>0.0789467187284758</v>
      </c>
      <c r="N37" s="231">
        <f>'Q''_GSI'!J132</f>
        <v>0.058392407736062885</v>
      </c>
      <c r="O37" s="17"/>
    </row>
    <row r="38" spans="1:15" ht="14.25">
      <c r="A38" s="216" t="s">
        <v>60</v>
      </c>
      <c r="B38" s="284"/>
      <c r="C38" s="284"/>
      <c r="D38" s="284"/>
      <c r="E38" s="232" t="s">
        <v>61</v>
      </c>
      <c r="F38" s="289">
        <f>'Q''_GSI'!J116</f>
        <v>8</v>
      </c>
      <c r="G38" s="17"/>
      <c r="H38" s="68" t="s">
        <v>64</v>
      </c>
      <c r="I38" s="2"/>
      <c r="J38" s="2"/>
      <c r="K38" s="2"/>
      <c r="L38" s="235" t="s">
        <v>126</v>
      </c>
      <c r="M38" s="119">
        <f>'Q''_GSI'!J125</f>
        <v>1.9995218076668821</v>
      </c>
      <c r="N38" s="119">
        <f>'Q''_GSI'!J133</f>
        <v>1.5408095552561474</v>
      </c>
      <c r="O38" s="17"/>
    </row>
    <row r="39" spans="1:15" ht="14.25">
      <c r="A39" s="16"/>
      <c r="B39" s="16"/>
      <c r="C39" s="16"/>
      <c r="D39" s="16"/>
      <c r="E39" s="11"/>
      <c r="F39" s="307"/>
      <c r="G39" s="17"/>
      <c r="H39" s="68" t="s">
        <v>100</v>
      </c>
      <c r="I39" s="2"/>
      <c r="J39" s="2"/>
      <c r="K39" s="2"/>
      <c r="L39" s="235" t="s">
        <v>101</v>
      </c>
      <c r="M39" s="119">
        <f>'Q''_GSI'!J126</f>
        <v>8.529273854340456</v>
      </c>
      <c r="N39" s="119">
        <f>'Q''_GSI'!J134</f>
        <v>7.727156067879239</v>
      </c>
      <c r="O39" s="17"/>
    </row>
    <row r="40" spans="1:15" ht="14.25">
      <c r="A40" s="3"/>
      <c r="B40" s="3"/>
      <c r="C40" s="3"/>
      <c r="D40" s="3"/>
      <c r="E40" s="3"/>
      <c r="F40" s="3"/>
      <c r="G40" s="3"/>
      <c r="H40" s="216" t="s">
        <v>117</v>
      </c>
      <c r="I40" s="217"/>
      <c r="J40" s="217"/>
      <c r="K40" s="217"/>
      <c r="L40" s="232" t="s">
        <v>127</v>
      </c>
      <c r="M40" s="118">
        <f>'Q''_GSI'!J139</f>
        <v>4.042606128668595</v>
      </c>
      <c r="N40" s="118">
        <f>'Q''_GSI'!J140</f>
        <v>3.2111561898708865</v>
      </c>
      <c r="O40" s="17"/>
    </row>
    <row r="41" spans="1:13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7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  <row r="50" spans="1:17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17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</row>
    <row r="53" spans="1:17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1:17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7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</row>
    <row r="57" spans="1:17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</row>
    <row r="58" spans="1:17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</row>
    <row r="62" spans="1:17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12.7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</row>
    <row r="66" spans="1:17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17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1:17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12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1:17" ht="12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1:17" ht="12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</row>
    <row r="72" spans="1:17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2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1:17" ht="12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2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2.75">
      <c r="A90" s="114"/>
      <c r="B90" s="114"/>
      <c r="C90" s="114"/>
      <c r="D90" s="114"/>
      <c r="E90" s="115"/>
      <c r="F90" s="115"/>
      <c r="G90" s="115"/>
      <c r="H90" s="115"/>
      <c r="I90" s="115"/>
      <c r="J90" s="115"/>
      <c r="K90" s="114"/>
      <c r="L90" s="114"/>
      <c r="M90" s="114"/>
      <c r="N90" s="114"/>
      <c r="O90" s="114"/>
      <c r="P90" s="114"/>
      <c r="Q90" s="114"/>
    </row>
    <row r="91" spans="1:17" ht="12.75">
      <c r="A91" s="114"/>
      <c r="B91" s="114"/>
      <c r="C91" s="114"/>
      <c r="D91" s="114"/>
      <c r="E91" s="115"/>
      <c r="F91" s="115"/>
      <c r="G91" s="115"/>
      <c r="H91" s="115"/>
      <c r="I91" s="115"/>
      <c r="J91" s="115"/>
      <c r="K91" s="114"/>
      <c r="L91" s="114"/>
      <c r="M91" s="114"/>
      <c r="N91" s="114"/>
      <c r="O91" s="114"/>
      <c r="P91" s="114"/>
      <c r="Q91" s="114"/>
    </row>
    <row r="92" spans="1:17" ht="12.75">
      <c r="A92" s="114"/>
      <c r="B92" s="114"/>
      <c r="C92" s="114"/>
      <c r="D92" s="114"/>
      <c r="E92" s="115"/>
      <c r="F92" s="115"/>
      <c r="G92" s="115"/>
      <c r="H92" s="115"/>
      <c r="I92" s="115"/>
      <c r="J92" s="115"/>
      <c r="K92" s="114"/>
      <c r="L92" s="114"/>
      <c r="M92" s="114"/>
      <c r="N92" s="114"/>
      <c r="O92" s="114"/>
      <c r="P92" s="114"/>
      <c r="Q92" s="114"/>
    </row>
    <row r="93" spans="1:17" ht="12.75">
      <c r="A93" s="114"/>
      <c r="B93" s="114"/>
      <c r="C93" s="114"/>
      <c r="D93" s="114"/>
      <c r="E93" s="115"/>
      <c r="F93" s="115"/>
      <c r="G93" s="115"/>
      <c r="H93" s="115"/>
      <c r="I93" s="115"/>
      <c r="J93" s="115"/>
      <c r="K93" s="114"/>
      <c r="L93" s="114"/>
      <c r="M93" s="114"/>
      <c r="N93" s="114"/>
      <c r="O93" s="114"/>
      <c r="P93" s="114"/>
      <c r="Q93" s="114"/>
    </row>
    <row r="94" spans="1:17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 ht="12.75">
      <c r="A125" s="115"/>
      <c r="B125" s="115"/>
      <c r="C125" s="115"/>
      <c r="D125" s="115"/>
      <c r="K125" s="115"/>
      <c r="L125" s="115"/>
      <c r="M125" s="115"/>
      <c r="N125" s="115"/>
      <c r="O125" s="115"/>
      <c r="P125" s="115"/>
      <c r="Q125" s="115"/>
    </row>
    <row r="126" spans="1:17" ht="12.75">
      <c r="A126" s="115"/>
      <c r="B126" s="115"/>
      <c r="C126" s="115"/>
      <c r="D126" s="115"/>
      <c r="K126" s="115"/>
      <c r="L126" s="115"/>
      <c r="M126" s="115"/>
      <c r="N126" s="115"/>
      <c r="O126" s="115"/>
      <c r="P126" s="115"/>
      <c r="Q126" s="115"/>
    </row>
    <row r="127" spans="1:17" ht="12.75">
      <c r="A127" s="115"/>
      <c r="B127" s="115"/>
      <c r="C127" s="115"/>
      <c r="D127" s="115"/>
      <c r="K127" s="115"/>
      <c r="L127" s="115"/>
      <c r="M127" s="115"/>
      <c r="N127" s="115"/>
      <c r="O127" s="115"/>
      <c r="P127" s="115"/>
      <c r="Q127" s="115"/>
    </row>
    <row r="128" spans="1:17" ht="12.75">
      <c r="A128" s="115"/>
      <c r="B128" s="115"/>
      <c r="C128" s="115"/>
      <c r="D128" s="115"/>
      <c r="K128" s="115"/>
      <c r="L128" s="115"/>
      <c r="M128" s="115"/>
      <c r="N128" s="115"/>
      <c r="O128" s="115"/>
      <c r="P128" s="115"/>
      <c r="Q128" s="115"/>
    </row>
  </sheetData>
  <mergeCells count="1">
    <mergeCell ref="N1:N2"/>
  </mergeCells>
  <printOptions horizontalCentered="1" verticalCentered="1"/>
  <pageMargins left="0.3" right="0.22" top="0.7" bottom="0.33" header="0.35" footer="0.28"/>
  <pageSetup horizontalDpi="300" verticalDpi="300" orientation="landscape" paperSize="9" scale="95" r:id="rId2"/>
  <headerFooter alignWithMargins="0">
    <oddHeader>&amp;C&amp;"Arial,Grassetto Corsivo"&amp;14Inviluppi di rottura dell'ammasso roccioso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8"/>
  <sheetViews>
    <sheetView workbookViewId="0" topLeftCell="A1">
      <selection activeCell="F1" sqref="F1"/>
    </sheetView>
  </sheetViews>
  <sheetFormatPr defaultColWidth="9.140625" defaultRowHeight="12.75"/>
  <cols>
    <col min="8" max="8" width="7.140625" style="0" customWidth="1"/>
    <col min="9" max="9" width="10.140625" style="0" customWidth="1"/>
    <col min="10" max="10" width="9.57421875" style="0" customWidth="1"/>
    <col min="11" max="11" width="7.57421875" style="0" customWidth="1"/>
    <col min="12" max="12" width="11.00390625" style="0" customWidth="1"/>
    <col min="14" max="14" width="10.28125" style="0" customWidth="1"/>
    <col min="15" max="15" width="7.7109375" style="0" customWidth="1"/>
  </cols>
  <sheetData>
    <row r="1" spans="1:15" ht="15">
      <c r="A1" s="324" t="str">
        <f>inviluppi!A1</f>
        <v>Piano di recupero "La Cementifera"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345" t="str">
        <f>'Q''_GSI'!C9</f>
        <v>RG 3</v>
      </c>
      <c r="O1" s="286"/>
    </row>
    <row r="2" spans="1:15" ht="15">
      <c r="A2" s="324" t="str">
        <f>inviluppi!A2</f>
        <v>Robbiate (LC)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346"/>
      <c r="O2" s="286"/>
    </row>
    <row r="3" spans="1:15" ht="15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7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6"/>
      <c r="L4" s="91"/>
      <c r="M4" s="16"/>
      <c r="N4" s="16"/>
      <c r="O4" s="16"/>
      <c r="P4" s="116"/>
      <c r="Q4" s="116"/>
    </row>
    <row r="5" spans="1:17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16"/>
      <c r="Q5" s="116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17"/>
      <c r="K6" s="2"/>
      <c r="L6" s="2"/>
      <c r="M6" s="2"/>
      <c r="N6" s="2"/>
      <c r="O6" s="2"/>
      <c r="P6" s="117"/>
      <c r="Q6" s="117"/>
    </row>
    <row r="7" spans="1:17" ht="12.75">
      <c r="A7" s="3"/>
      <c r="B7" s="3"/>
      <c r="C7" s="3"/>
      <c r="D7" s="3"/>
      <c r="E7" s="3"/>
      <c r="F7" s="3"/>
      <c r="G7" s="3"/>
      <c r="H7" s="3"/>
      <c r="I7" s="3"/>
      <c r="J7" s="17"/>
      <c r="K7" s="2"/>
      <c r="L7" s="2"/>
      <c r="M7" s="2"/>
      <c r="N7" s="2"/>
      <c r="O7" s="2"/>
      <c r="P7" s="117"/>
      <c r="Q7" s="117"/>
    </row>
    <row r="8" spans="1:17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114"/>
      <c r="Q8" s="114"/>
    </row>
    <row r="9" spans="1:17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14"/>
      <c r="Q9" s="114"/>
    </row>
    <row r="10" spans="1:17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114"/>
      <c r="Q10" s="114"/>
    </row>
    <row r="11" spans="1:17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14"/>
      <c r="Q11" s="114"/>
    </row>
    <row r="12" spans="1:17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14"/>
      <c r="Q12" s="114"/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14"/>
      <c r="Q13" s="114"/>
    </row>
    <row r="14" spans="1:17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14"/>
      <c r="Q14" s="114"/>
    </row>
    <row r="15" spans="1:17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14"/>
      <c r="Q15" s="114"/>
    </row>
    <row r="16" spans="1:17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114"/>
      <c r="Q16" s="114"/>
    </row>
    <row r="17" spans="1:17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14"/>
      <c r="Q17" s="114"/>
    </row>
    <row r="18" spans="1:17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14"/>
      <c r="Q18" s="114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14"/>
      <c r="Q19" s="114"/>
    </row>
    <row r="20" spans="1:1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14"/>
      <c r="Q20" s="114"/>
    </row>
    <row r="21" spans="1:17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14"/>
      <c r="Q21" s="114"/>
    </row>
    <row r="22" spans="1:17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14"/>
      <c r="Q22" s="114"/>
    </row>
    <row r="23" spans="1:17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14"/>
      <c r="Q23" s="114"/>
    </row>
    <row r="24" spans="1:17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14"/>
      <c r="Q24" s="114"/>
    </row>
    <row r="25" spans="1:17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114"/>
      <c r="Q25" s="114"/>
    </row>
    <row r="26" spans="1:17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114"/>
      <c r="Q26" s="114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114"/>
      <c r="Q27" s="114"/>
    </row>
    <row r="28" spans="1:17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14"/>
      <c r="Q28" s="114"/>
    </row>
    <row r="29" spans="1:17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114"/>
      <c r="Q29" s="114"/>
    </row>
    <row r="30" spans="1:17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114"/>
      <c r="Q30" s="114"/>
    </row>
    <row r="31" spans="1:17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14"/>
      <c r="Q31" s="114"/>
    </row>
    <row r="32" spans="1:15" ht="12.75">
      <c r="A32" s="76" t="s">
        <v>57</v>
      </c>
      <c r="B32" s="17"/>
      <c r="C32" s="17"/>
      <c r="D32" s="17"/>
      <c r="E32" s="17"/>
      <c r="F32" s="17"/>
      <c r="G32" s="17"/>
      <c r="I32" s="17"/>
      <c r="J32" s="17"/>
      <c r="K32" s="17"/>
      <c r="L32" s="17"/>
      <c r="M32" s="17"/>
      <c r="O32" s="17"/>
    </row>
    <row r="33" spans="1:15" ht="15.75">
      <c r="A33" s="238" t="s">
        <v>128</v>
      </c>
      <c r="B33" s="17"/>
      <c r="C33" s="17"/>
      <c r="D33" s="17"/>
      <c r="E33" s="17"/>
      <c r="F33" s="17"/>
      <c r="G33" s="17"/>
      <c r="H33" s="39" t="s">
        <v>115</v>
      </c>
      <c r="I33" s="287"/>
      <c r="J33" s="287"/>
      <c r="K33" s="287"/>
      <c r="L33" s="287"/>
      <c r="M33" s="40" t="s">
        <v>114</v>
      </c>
      <c r="N33" s="40" t="s">
        <v>94</v>
      </c>
      <c r="O33" s="17"/>
    </row>
    <row r="34" spans="1:15" ht="14.25">
      <c r="A34" s="17"/>
      <c r="B34" s="17"/>
      <c r="C34" s="17"/>
      <c r="D34" s="17"/>
      <c r="E34" s="17"/>
      <c r="F34" s="17"/>
      <c r="G34" s="17"/>
      <c r="H34" s="65" t="s">
        <v>62</v>
      </c>
      <c r="I34" s="80"/>
      <c r="J34" s="80"/>
      <c r="K34" s="80"/>
      <c r="L34" s="9" t="s">
        <v>125</v>
      </c>
      <c r="M34" s="83">
        <f>'Q''_GSI'!J121</f>
        <v>0.8431937964949147</v>
      </c>
      <c r="N34" s="83">
        <f>'Q''_GSI'!J129</f>
        <v>0.7309460673878938</v>
      </c>
      <c r="O34" s="17"/>
    </row>
    <row r="35" spans="1:15" ht="12.75">
      <c r="A35" s="39" t="s">
        <v>58</v>
      </c>
      <c r="B35" s="287"/>
      <c r="C35" s="287"/>
      <c r="D35" s="287"/>
      <c r="E35" s="287"/>
      <c r="F35" s="288"/>
      <c r="G35" s="17"/>
      <c r="H35" s="68"/>
      <c r="I35" s="2"/>
      <c r="J35" s="2"/>
      <c r="K35" s="2"/>
      <c r="L35" s="162" t="s">
        <v>63</v>
      </c>
      <c r="M35" s="240">
        <f>'Q''_GSI'!J122</f>
        <v>0.0009118819655545162</v>
      </c>
      <c r="N35" s="240">
        <f>'Q''_GSI'!J130</f>
        <v>0.000584680832876515</v>
      </c>
      <c r="O35" s="17"/>
    </row>
    <row r="36" spans="1:15" ht="14.25">
      <c r="A36" s="68" t="s">
        <v>59</v>
      </c>
      <c r="B36" s="16"/>
      <c r="C36" s="16"/>
      <c r="D36" s="16"/>
      <c r="E36" s="234" t="s">
        <v>121</v>
      </c>
      <c r="F36" s="49">
        <f>'Q''_GSI'!J114</f>
        <v>73</v>
      </c>
      <c r="G36" s="17"/>
      <c r="H36" s="68"/>
      <c r="I36" s="2"/>
      <c r="J36" s="2"/>
      <c r="K36" s="2"/>
      <c r="L36" s="162" t="s">
        <v>84</v>
      </c>
      <c r="M36" s="266">
        <f>'Q''_GSI'!J123</f>
        <v>0.5139359121918643</v>
      </c>
      <c r="N36" s="266">
        <f>'Q''_GSI'!J131</f>
        <v>0.518259153709567</v>
      </c>
      <c r="O36" s="17"/>
    </row>
    <row r="37" spans="1:15" ht="14.25">
      <c r="A37" s="68" t="s">
        <v>86</v>
      </c>
      <c r="B37" s="16"/>
      <c r="C37" s="16"/>
      <c r="D37" s="16"/>
      <c r="E37" s="235" t="s">
        <v>122</v>
      </c>
      <c r="F37" s="37">
        <f>'Q''_GSI'!J115</f>
        <v>8.986710670089224</v>
      </c>
      <c r="G37" s="17"/>
      <c r="H37" s="65" t="s">
        <v>88</v>
      </c>
      <c r="I37" s="66"/>
      <c r="J37" s="66"/>
      <c r="K37" s="66"/>
      <c r="L37" s="234" t="s">
        <v>87</v>
      </c>
      <c r="M37" s="231">
        <f>'Q''_GSI'!J124</f>
        <v>0.0789467187284758</v>
      </c>
      <c r="N37" s="231">
        <f>'Q''_GSI'!J132</f>
        <v>0.058392407736062885</v>
      </c>
      <c r="O37" s="17"/>
    </row>
    <row r="38" spans="1:15" ht="14.25">
      <c r="A38" s="216" t="s">
        <v>60</v>
      </c>
      <c r="B38" s="284"/>
      <c r="C38" s="284"/>
      <c r="D38" s="284"/>
      <c r="E38" s="232" t="s">
        <v>61</v>
      </c>
      <c r="F38" s="289">
        <f>'Q''_GSI'!J116</f>
        <v>8</v>
      </c>
      <c r="G38" s="17"/>
      <c r="H38" s="68" t="s">
        <v>64</v>
      </c>
      <c r="I38" s="2"/>
      <c r="J38" s="2"/>
      <c r="K38" s="2"/>
      <c r="L38" s="235" t="s">
        <v>126</v>
      </c>
      <c r="M38" s="119">
        <f>'Q''_GSI'!J125</f>
        <v>1.9995218076668821</v>
      </c>
      <c r="N38" s="119">
        <f>'Q''_GSI'!J133</f>
        <v>1.5408095552561474</v>
      </c>
      <c r="O38" s="17"/>
    </row>
    <row r="39" spans="1:15" ht="14.25">
      <c r="A39" s="16"/>
      <c r="B39" s="16"/>
      <c r="C39" s="16"/>
      <c r="D39" s="16"/>
      <c r="E39" s="11"/>
      <c r="F39" s="307"/>
      <c r="G39" s="17"/>
      <c r="H39" s="68" t="s">
        <v>100</v>
      </c>
      <c r="I39" s="2"/>
      <c r="J39" s="2"/>
      <c r="K39" s="2"/>
      <c r="L39" s="235" t="s">
        <v>101</v>
      </c>
      <c r="M39" s="119">
        <f>'Q''_GSI'!J126</f>
        <v>8.529273854340456</v>
      </c>
      <c r="N39" s="119">
        <f>'Q''_GSI'!J134</f>
        <v>7.727156067879239</v>
      </c>
      <c r="O39" s="17"/>
    </row>
    <row r="40" spans="1:15" ht="14.25">
      <c r="A40" s="3"/>
      <c r="B40" s="3"/>
      <c r="C40" s="3"/>
      <c r="D40" s="3"/>
      <c r="E40" s="3"/>
      <c r="F40" s="3"/>
      <c r="G40" s="3"/>
      <c r="H40" s="216" t="s">
        <v>117</v>
      </c>
      <c r="I40" s="217"/>
      <c r="J40" s="217"/>
      <c r="K40" s="217"/>
      <c r="L40" s="232" t="s">
        <v>127</v>
      </c>
      <c r="M40" s="118">
        <f>'Q''_GSI'!J139</f>
        <v>4.042606128668595</v>
      </c>
      <c r="N40" s="118">
        <f>'Q''_GSI'!J140</f>
        <v>3.2111561898708865</v>
      </c>
      <c r="O40" s="17"/>
    </row>
    <row r="41" spans="1:13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</row>
    <row r="42" spans="1:13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</row>
    <row r="43" spans="1:13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</row>
    <row r="44" spans="1:17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</row>
    <row r="45" spans="1:17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</row>
    <row r="46" spans="1:17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</row>
    <row r="47" spans="1:17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</row>
    <row r="48" spans="1:17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</row>
    <row r="49" spans="1:17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</row>
    <row r="50" spans="1:17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</row>
    <row r="51" spans="1:17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</row>
    <row r="52" spans="1:17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</row>
    <row r="53" spans="1:17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</row>
    <row r="54" spans="1:17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</row>
    <row r="55" spans="1:17" ht="12.75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</row>
    <row r="56" spans="1:17" ht="12.75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</row>
    <row r="57" spans="1:17" ht="12.75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</row>
    <row r="58" spans="1:17" ht="12.75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</row>
    <row r="59" spans="1:17" ht="12.75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</row>
    <row r="60" spans="1:17" ht="12.75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</row>
    <row r="61" spans="1:17" ht="12.75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</row>
    <row r="62" spans="1:17" ht="12.75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</row>
    <row r="63" spans="1:17" ht="12.75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</row>
    <row r="64" spans="1:17" ht="12.75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</row>
    <row r="65" spans="1:17" ht="12.75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</row>
    <row r="66" spans="1:17" ht="12.75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</row>
    <row r="67" spans="1:17" ht="12.7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</row>
    <row r="68" spans="1:17" ht="12.75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</row>
    <row r="69" spans="1:17" ht="12.75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</row>
    <row r="70" spans="1:17" ht="12.75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</row>
    <row r="71" spans="1:17" ht="12.75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</row>
    <row r="72" spans="1:17" ht="12.75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</row>
    <row r="73" spans="1:17" ht="12.75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</row>
    <row r="74" spans="1:17" ht="12.75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</row>
    <row r="75" spans="1:17" ht="12.75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</row>
    <row r="76" spans="1:17" ht="12.75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</row>
    <row r="77" spans="1:17" ht="12.75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</row>
    <row r="78" spans="1:17" ht="12.75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</row>
    <row r="79" spans="1:17" ht="12.75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</row>
    <row r="80" spans="1:17" ht="12.75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</row>
    <row r="81" spans="1:17" ht="12.75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</row>
    <row r="82" spans="1:17" ht="12.75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</row>
    <row r="83" spans="1:17" ht="12.75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</row>
    <row r="84" spans="1:17" ht="12.75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</row>
    <row r="85" spans="1:17" ht="12.75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</row>
    <row r="86" spans="1:17" ht="12.75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</row>
    <row r="87" spans="1:17" ht="12.75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</row>
    <row r="88" spans="1:17" ht="12.75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</row>
    <row r="89" spans="1:17" ht="12.75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</row>
    <row r="90" spans="1:17" ht="12.75">
      <c r="A90" s="114"/>
      <c r="B90" s="114"/>
      <c r="C90" s="114"/>
      <c r="D90" s="114"/>
      <c r="E90" s="115"/>
      <c r="F90" s="115"/>
      <c r="G90" s="115"/>
      <c r="H90" s="115"/>
      <c r="I90" s="115"/>
      <c r="J90" s="115"/>
      <c r="K90" s="114"/>
      <c r="L90" s="114"/>
      <c r="M90" s="114"/>
      <c r="N90" s="114"/>
      <c r="O90" s="114"/>
      <c r="P90" s="114"/>
      <c r="Q90" s="114"/>
    </row>
    <row r="91" spans="1:17" ht="12.75">
      <c r="A91" s="114"/>
      <c r="B91" s="114"/>
      <c r="C91" s="114"/>
      <c r="D91" s="114"/>
      <c r="E91" s="115"/>
      <c r="F91" s="115"/>
      <c r="G91" s="115"/>
      <c r="H91" s="115"/>
      <c r="I91" s="115"/>
      <c r="J91" s="115"/>
      <c r="K91" s="114"/>
      <c r="L91" s="114"/>
      <c r="M91" s="114"/>
      <c r="N91" s="114"/>
      <c r="O91" s="114"/>
      <c r="P91" s="114"/>
      <c r="Q91" s="114"/>
    </row>
    <row r="92" spans="1:17" ht="12.75">
      <c r="A92" s="114"/>
      <c r="B92" s="114"/>
      <c r="C92" s="114"/>
      <c r="D92" s="114"/>
      <c r="E92" s="115"/>
      <c r="F92" s="115"/>
      <c r="G92" s="115"/>
      <c r="H92" s="115"/>
      <c r="I92" s="115"/>
      <c r="J92" s="115"/>
      <c r="K92" s="114"/>
      <c r="L92" s="114"/>
      <c r="M92" s="114"/>
      <c r="N92" s="114"/>
      <c r="O92" s="114"/>
      <c r="P92" s="114"/>
      <c r="Q92" s="114"/>
    </row>
    <row r="93" spans="1:17" ht="12.75">
      <c r="A93" s="114"/>
      <c r="B93" s="114"/>
      <c r="C93" s="114"/>
      <c r="D93" s="114"/>
      <c r="E93" s="115"/>
      <c r="F93" s="115"/>
      <c r="G93" s="115"/>
      <c r="H93" s="115"/>
      <c r="I93" s="115"/>
      <c r="J93" s="115"/>
      <c r="K93" s="114"/>
      <c r="L93" s="114"/>
      <c r="M93" s="114"/>
      <c r="N93" s="114"/>
      <c r="O93" s="114"/>
      <c r="P93" s="114"/>
      <c r="Q93" s="114"/>
    </row>
    <row r="94" spans="1:17" ht="12.75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12.75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</row>
    <row r="96" spans="1:17" ht="12.75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</row>
    <row r="97" spans="1:17" ht="12.75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</row>
    <row r="98" spans="1:17" ht="12.75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</row>
    <row r="99" spans="1:17" ht="12.75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</row>
    <row r="100" spans="1:17" ht="12.75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</row>
    <row r="101" spans="1:17" ht="12.75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</row>
    <row r="102" spans="1:17" ht="12.75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</row>
    <row r="103" spans="1:17" ht="12.75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</row>
    <row r="104" spans="1:17" ht="12.75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</row>
    <row r="105" spans="1:17" ht="12.75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</row>
    <row r="106" spans="1:17" ht="12.75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</row>
    <row r="107" spans="1:17" ht="12.75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</row>
    <row r="108" spans="1:17" ht="12.75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</row>
    <row r="109" spans="1:17" ht="12.75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</row>
    <row r="110" spans="1:17" ht="12.75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</row>
    <row r="111" spans="1:17" ht="12.7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</row>
    <row r="112" spans="1:17" ht="12.75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</row>
    <row r="113" spans="1:17" ht="12.7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</row>
    <row r="114" spans="1:17" ht="12.7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</row>
    <row r="115" spans="1:17" ht="12.7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</row>
    <row r="116" spans="1:17" ht="12.75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</row>
    <row r="117" spans="1:17" ht="12.7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</row>
    <row r="118" spans="1:17" ht="12.75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</row>
    <row r="119" spans="1:17" ht="12.75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</row>
    <row r="120" spans="1:17" ht="12.75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</row>
    <row r="121" spans="1:17" ht="12.75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</row>
    <row r="122" spans="1:17" ht="12.75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</row>
    <row r="123" spans="1:17" ht="12.75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</row>
    <row r="124" spans="1:17" ht="12.75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</row>
    <row r="125" spans="1:17" ht="12.75">
      <c r="A125" s="115"/>
      <c r="B125" s="115"/>
      <c r="C125" s="115"/>
      <c r="D125" s="115"/>
      <c r="K125" s="115"/>
      <c r="L125" s="115"/>
      <c r="M125" s="115"/>
      <c r="N125" s="115"/>
      <c r="O125" s="115"/>
      <c r="P125" s="115"/>
      <c r="Q125" s="115"/>
    </row>
    <row r="126" spans="1:17" ht="12.75">
      <c r="A126" s="115"/>
      <c r="B126" s="115"/>
      <c r="C126" s="115"/>
      <c r="D126" s="115"/>
      <c r="K126" s="115"/>
      <c r="L126" s="115"/>
      <c r="M126" s="115"/>
      <c r="N126" s="115"/>
      <c r="O126" s="115"/>
      <c r="P126" s="115"/>
      <c r="Q126" s="115"/>
    </row>
    <row r="127" spans="1:17" ht="12.75">
      <c r="A127" s="115"/>
      <c r="B127" s="115"/>
      <c r="C127" s="115"/>
      <c r="D127" s="115"/>
      <c r="K127" s="115"/>
      <c r="L127" s="115"/>
      <c r="M127" s="115"/>
      <c r="N127" s="115"/>
      <c r="O127" s="115"/>
      <c r="P127" s="115"/>
      <c r="Q127" s="115"/>
    </row>
    <row r="128" spans="1:17" ht="12.75">
      <c r="A128" s="115"/>
      <c r="B128" s="115"/>
      <c r="C128" s="115"/>
      <c r="D128" s="115"/>
      <c r="K128" s="115"/>
      <c r="L128" s="115"/>
      <c r="M128" s="115"/>
      <c r="N128" s="115"/>
      <c r="O128" s="115"/>
      <c r="P128" s="115"/>
      <c r="Q128" s="115"/>
    </row>
  </sheetData>
  <mergeCells count="1">
    <mergeCell ref="N1:N2"/>
  </mergeCells>
  <printOptions horizontalCentered="1" verticalCentered="1"/>
  <pageMargins left="0.3" right="0.22" top="0.85" bottom="0.29" header="0.33" footer="0.23"/>
  <pageSetup horizontalDpi="300" verticalDpi="300" orientation="landscape" paperSize="9" scale="95" r:id="rId2"/>
  <headerFooter alignWithMargins="0">
    <oddHeader>&amp;C&amp;"Arial,Grassetto Corsivo"&amp;14Inviluppi di rottura dell'ammasso roccioso
(0 &lt; &amp;"Symbol,Corsivo grassetto"s&amp;"Arial,Grassetto Corsivo"&amp;Y3&amp;Y &lt; 1 MPa)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Previati</dc:creator>
  <cp:keywords/>
  <dc:description/>
  <cp:lastModifiedBy>giovanni</cp:lastModifiedBy>
  <cp:lastPrinted>2003-01-15T09:29:44Z</cp:lastPrinted>
  <dcterms:created xsi:type="dcterms:W3CDTF">2000-03-13T11:19:58Z</dcterms:created>
  <dcterms:modified xsi:type="dcterms:W3CDTF">2003-01-15T09:30:13Z</dcterms:modified>
  <cp:category/>
  <cp:version/>
  <cp:contentType/>
  <cp:contentStatus/>
</cp:coreProperties>
</file>